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ndinavianairlinessystem.sharepoint.com/sites/InvestorRelations-externfinansiellproduktion/Shared Documents/General/Delårsrapporter/2022/Q2/For publishing/"/>
    </mc:Choice>
  </mc:AlternateContent>
  <xr:revisionPtr revIDLastSave="0" documentId="8_{4E5D5A8E-96B4-40D6-B1CE-23163C4DFE17}" xr6:coauthVersionLast="47" xr6:coauthVersionMax="47" xr10:uidLastSave="{00000000-0000-0000-0000-000000000000}"/>
  <bookViews>
    <workbookView xWindow="33450" yWindow="915" windowWidth="19200" windowHeight="11385" activeTab="3" xr2:uid="{00000000-000D-0000-FFFF-FFFF00000000}"/>
  </bookViews>
  <sheets>
    <sheet name="Income Statement" sheetId="1" r:id="rId1"/>
    <sheet name="Balance Sheet" sheetId="3" r:id="rId2"/>
    <sheet name="Cash-Flow" sheetId="2" r:id="rId3"/>
    <sheet name="CASK, Yield, PASK &amp; RASK" sheetId="4" r:id="rId4"/>
  </sheets>
  <externalReferences>
    <externalReference r:id="rId5"/>
  </externalReference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" l="1"/>
  <c r="C8" i="4" l="1"/>
  <c r="D10" i="4"/>
  <c r="D56" i="4"/>
  <c r="E56" i="4" s="1"/>
  <c r="C56" i="4"/>
  <c r="E54" i="4"/>
  <c r="D54" i="4"/>
  <c r="C54" i="4"/>
  <c r="D44" i="4"/>
  <c r="C44" i="4"/>
  <c r="E42" i="4"/>
  <c r="E44" i="4" s="1"/>
  <c r="E33" i="4"/>
  <c r="D33" i="4"/>
  <c r="C33" i="4"/>
  <c r="L56" i="4"/>
  <c r="K56" i="4"/>
  <c r="H56" i="4"/>
  <c r="I56" i="4" s="1"/>
  <c r="G56" i="4"/>
  <c r="I54" i="4"/>
  <c r="H54" i="4"/>
  <c r="H58" i="4" s="1"/>
  <c r="G54" i="4"/>
  <c r="G58" i="4" s="1"/>
  <c r="L53" i="4"/>
  <c r="K53" i="4"/>
  <c r="L52" i="4"/>
  <c r="K52" i="4"/>
  <c r="L51" i="4"/>
  <c r="K51" i="4"/>
  <c r="M50" i="4"/>
  <c r="M54" i="4" s="1"/>
  <c r="M58" i="4" s="1"/>
  <c r="K50" i="4"/>
  <c r="M44" i="4"/>
  <c r="L44" i="4"/>
  <c r="K44" i="4"/>
  <c r="H44" i="4"/>
  <c r="G44" i="4"/>
  <c r="I42" i="4"/>
  <c r="I44" i="4" s="1"/>
  <c r="M33" i="4"/>
  <c r="L33" i="4"/>
  <c r="K33" i="4"/>
  <c r="I33" i="4"/>
  <c r="H33" i="4"/>
  <c r="G33" i="4"/>
  <c r="P21" i="4"/>
  <c r="P23" i="4" s="1"/>
  <c r="O21" i="4"/>
  <c r="O23" i="4" s="1"/>
  <c r="H10" i="4"/>
  <c r="H13" i="4" s="1"/>
  <c r="L9" i="4"/>
  <c r="K9" i="4"/>
  <c r="L8" i="4"/>
  <c r="K8" i="4"/>
  <c r="L7" i="4"/>
  <c r="K7" i="4"/>
  <c r="L6" i="4"/>
  <c r="K6" i="4"/>
  <c r="H6" i="4"/>
  <c r="G6" i="4"/>
  <c r="G10" i="4" s="1"/>
  <c r="B21" i="2"/>
  <c r="C30" i="3"/>
  <c r="K54" i="4" l="1"/>
  <c r="K58" i="4" s="1"/>
  <c r="E58" i="4"/>
  <c r="D58" i="4"/>
  <c r="C58" i="4"/>
  <c r="C10" i="4"/>
  <c r="C13" i="4" s="1"/>
  <c r="D13" i="4"/>
  <c r="D17" i="4"/>
  <c r="K10" i="4"/>
  <c r="K13" i="4" s="1"/>
  <c r="I58" i="4"/>
  <c r="L54" i="4"/>
  <c r="L58" i="4" s="1"/>
  <c r="L10" i="4"/>
  <c r="L17" i="4" s="1"/>
  <c r="L21" i="4" s="1"/>
  <c r="L23" i="4" s="1"/>
  <c r="G13" i="4"/>
  <c r="G17" i="4"/>
  <c r="G21" i="4" s="1"/>
  <c r="G23" i="4" s="1"/>
  <c r="H17" i="4"/>
  <c r="B35" i="2"/>
  <c r="B36" i="2"/>
  <c r="B13" i="2"/>
  <c r="B16" i="2" s="1"/>
  <c r="C25" i="3"/>
  <c r="C17" i="3"/>
  <c r="C12" i="3"/>
  <c r="D12" i="3"/>
  <c r="D17" i="3"/>
  <c r="D18" i="3" s="1"/>
  <c r="D25" i="3"/>
  <c r="D30" i="3"/>
  <c r="D32" i="3" s="1"/>
  <c r="D36" i="3"/>
  <c r="N95" i="1"/>
  <c r="N94" i="1"/>
  <c r="N93" i="1"/>
  <c r="N78" i="1"/>
  <c r="C27" i="2"/>
  <c r="K17" i="4" l="1"/>
  <c r="K21" i="4" s="1"/>
  <c r="K23" i="4" s="1"/>
  <c r="C17" i="4"/>
  <c r="C21" i="4" s="1"/>
  <c r="C23" i="4" s="1"/>
  <c r="D21" i="4"/>
  <c r="D23" i="4" s="1"/>
  <c r="L13" i="4"/>
  <c r="H18" i="4"/>
  <c r="H21" i="4" s="1"/>
  <c r="H23" i="4" s="1"/>
  <c r="C32" i="3"/>
  <c r="C18" i="3"/>
  <c r="B34" i="2"/>
  <c r="B22" i="2"/>
  <c r="B28" i="2" s="1"/>
  <c r="B31" i="2" s="1"/>
  <c r="B39" i="2" s="1"/>
  <c r="M33" i="1" l="1"/>
  <c r="L33" i="1"/>
  <c r="L32" i="1"/>
  <c r="K32" i="1"/>
  <c r="K33" i="1"/>
  <c r="J32" i="1"/>
  <c r="J33" i="1"/>
  <c r="I33" i="1"/>
  <c r="I32" i="1"/>
  <c r="H33" i="1"/>
  <c r="H32" i="1"/>
  <c r="M78" i="1"/>
  <c r="C35" i="2"/>
  <c r="C36" i="2"/>
  <c r="C13" i="2"/>
  <c r="C16" i="2" s="1"/>
  <c r="M95" i="1"/>
  <c r="M94" i="1"/>
  <c r="M93" i="1"/>
  <c r="M89" i="1"/>
  <c r="M24" i="1"/>
  <c r="M12" i="1"/>
  <c r="D36" i="2"/>
  <c r="D34" i="2"/>
  <c r="D39" i="2"/>
  <c r="D35" i="2"/>
  <c r="D27" i="2"/>
  <c r="D13" i="2"/>
  <c r="D16" i="2" s="1"/>
  <c r="D22" i="2" s="1"/>
  <c r="D28" i="2" s="1"/>
  <c r="D31" i="2" s="1"/>
  <c r="E31" i="2"/>
  <c r="C22" i="2" l="1"/>
  <c r="C28" i="2" s="1"/>
  <c r="C31" i="2" s="1"/>
  <c r="C39" i="2" s="1"/>
  <c r="C34" i="2"/>
  <c r="M27" i="1"/>
  <c r="M30" i="1" s="1"/>
  <c r="M37" i="1" s="1"/>
  <c r="I25" i="3"/>
  <c r="M43" i="1" l="1"/>
  <c r="F30" i="3"/>
  <c r="G30" i="3"/>
  <c r="H30" i="3"/>
  <c r="I30" i="3"/>
  <c r="J30" i="3"/>
  <c r="K30" i="3"/>
  <c r="L30" i="3"/>
  <c r="F25" i="3"/>
  <c r="G25" i="3"/>
  <c r="H25" i="3"/>
  <c r="J25" i="3"/>
  <c r="K25" i="3"/>
  <c r="L25" i="3"/>
  <c r="L17" i="3"/>
  <c r="E27" i="2"/>
  <c r="M46" i="1" l="1"/>
  <c r="M50" i="1" s="1"/>
  <c r="M96" i="1"/>
  <c r="M101" i="1" s="1"/>
  <c r="L20" i="3" l="1"/>
  <c r="L32" i="3" s="1"/>
  <c r="L11" i="3"/>
  <c r="L7" i="3"/>
  <c r="L12" i="3" s="1"/>
  <c r="L18" i="3" s="1"/>
  <c r="K11" i="3"/>
  <c r="K20" i="3"/>
  <c r="K7" i="3"/>
  <c r="K12" i="3" s="1"/>
  <c r="J20" i="3"/>
  <c r="J11" i="3"/>
  <c r="J7" i="3"/>
  <c r="J12" i="3" s="1"/>
  <c r="H20" i="3"/>
  <c r="H11" i="3"/>
  <c r="H7" i="3"/>
  <c r="G20" i="3"/>
  <c r="G11" i="3"/>
  <c r="G7" i="3"/>
  <c r="G12" i="3" s="1"/>
  <c r="F20" i="3"/>
  <c r="F11" i="3"/>
  <c r="F7" i="3"/>
  <c r="F12" i="3" s="1"/>
  <c r="I20" i="3"/>
  <c r="E20" i="3"/>
  <c r="I11" i="3"/>
  <c r="I7" i="3"/>
  <c r="I12" i="3" s="1"/>
  <c r="E11" i="3"/>
  <c r="E7" i="3"/>
  <c r="H12" i="3" l="1"/>
  <c r="L100" i="1"/>
  <c r="L97" i="1"/>
  <c r="L98" i="1"/>
  <c r="L99" i="1"/>
  <c r="L82" i="1"/>
  <c r="L83" i="1"/>
  <c r="L84" i="1"/>
  <c r="L85" i="1"/>
  <c r="L86" i="1"/>
  <c r="L87" i="1"/>
  <c r="L81" i="1"/>
  <c r="K41" i="1"/>
  <c r="K42" i="1"/>
  <c r="K89" i="1" l="1"/>
  <c r="K80" i="1"/>
  <c r="K95" i="1" s="1"/>
  <c r="K79" i="1"/>
  <c r="K94" i="1" s="1"/>
  <c r="K24" i="1"/>
  <c r="K12" i="1"/>
  <c r="E36" i="3"/>
  <c r="E25" i="3"/>
  <c r="K27" i="1" l="1"/>
  <c r="K30" i="1" s="1"/>
  <c r="K37" i="1" s="1"/>
  <c r="K43" i="1" s="1"/>
  <c r="T34" i="2"/>
  <c r="S34" i="2"/>
  <c r="S32" i="2"/>
  <c r="T32" i="2"/>
  <c r="J88" i="1"/>
  <c r="H88" i="1"/>
  <c r="L88" i="1" s="1"/>
  <c r="G88" i="1"/>
  <c r="F88" i="1"/>
  <c r="E88" i="1"/>
  <c r="D88" i="1"/>
  <c r="C88" i="1"/>
  <c r="J21" i="1"/>
  <c r="J23" i="1"/>
  <c r="H23" i="1"/>
  <c r="H21" i="1"/>
  <c r="F21" i="1"/>
  <c r="F23" i="1"/>
  <c r="E23" i="1"/>
  <c r="E21" i="1"/>
  <c r="C23" i="1"/>
  <c r="D23" i="1"/>
  <c r="D21" i="1"/>
  <c r="F33" i="1"/>
  <c r="E33" i="1"/>
  <c r="D33" i="1"/>
  <c r="C33" i="1"/>
  <c r="G21" i="1" l="1"/>
  <c r="K96" i="1"/>
  <c r="K101" i="1" s="1"/>
  <c r="K46" i="1"/>
  <c r="K50" i="1" s="1"/>
  <c r="J45" i="1"/>
  <c r="I45" i="1"/>
  <c r="H45" i="1"/>
  <c r="F18" i="2"/>
  <c r="F9" i="2"/>
  <c r="F8" i="2"/>
  <c r="G9" i="2"/>
  <c r="G8" i="2"/>
  <c r="G34" i="1"/>
  <c r="G32" i="1" l="1"/>
  <c r="G45" i="1"/>
  <c r="G33" i="1"/>
  <c r="G23" i="1"/>
  <c r="G24" i="1" s="1"/>
  <c r="H18" i="2"/>
  <c r="H9" i="2"/>
  <c r="H8" i="2"/>
  <c r="L18" i="2"/>
  <c r="L9" i="2"/>
  <c r="M18" i="2"/>
  <c r="M9" i="2"/>
  <c r="D89" i="1"/>
  <c r="L89" i="1"/>
  <c r="J89" i="1"/>
  <c r="I89" i="1"/>
  <c r="H89" i="1"/>
  <c r="G89" i="1"/>
  <c r="F89" i="1"/>
  <c r="E89" i="1"/>
  <c r="C89" i="1"/>
  <c r="F45" i="1"/>
  <c r="E45" i="1"/>
  <c r="D24" i="1"/>
  <c r="D27" i="1" s="1"/>
  <c r="D30" i="1" s="1"/>
  <c r="D37" i="1" s="1"/>
  <c r="D43" i="1" s="1"/>
  <c r="D46" i="1" s="1"/>
  <c r="D50" i="1" s="1"/>
  <c r="C45" i="1"/>
  <c r="L24" i="1"/>
  <c r="J24" i="1"/>
  <c r="I24" i="1"/>
  <c r="H24" i="1"/>
  <c r="F24" i="1"/>
  <c r="E24" i="1"/>
  <c r="C24" i="1"/>
  <c r="K18" i="2"/>
  <c r="K9" i="2"/>
  <c r="C27" i="1" l="1"/>
  <c r="C30" i="1" s="1"/>
  <c r="C37" i="1" s="1"/>
  <c r="C43" i="1" s="1"/>
  <c r="L8" i="2"/>
  <c r="M8" i="2" l="1"/>
  <c r="C46" i="1"/>
  <c r="C50" i="1" s="1"/>
  <c r="J18" i="2" l="1"/>
  <c r="J9" i="2"/>
  <c r="I35" i="2"/>
  <c r="J35" i="2"/>
  <c r="K35" i="2"/>
  <c r="L35" i="2"/>
  <c r="M35" i="2"/>
  <c r="I36" i="2"/>
  <c r="J36" i="2"/>
  <c r="K36" i="2"/>
  <c r="L36" i="2"/>
  <c r="E35" i="2"/>
  <c r="F35" i="2"/>
  <c r="G35" i="2"/>
  <c r="E36" i="2"/>
  <c r="F36" i="2"/>
  <c r="G36" i="2"/>
  <c r="H36" i="2"/>
  <c r="H35" i="2"/>
  <c r="I18" i="2"/>
  <c r="I9" i="2"/>
  <c r="I8" i="2"/>
  <c r="C96" i="1" l="1"/>
  <c r="C101" i="1" s="1"/>
  <c r="E13" i="2" l="1"/>
  <c r="E16" i="2" s="1"/>
  <c r="E30" i="3"/>
  <c r="E17" i="3"/>
  <c r="E12" i="3"/>
  <c r="L12" i="1"/>
  <c r="L27" i="1" s="1"/>
  <c r="L30" i="1" s="1"/>
  <c r="L37" i="1" s="1"/>
  <c r="L43" i="1" s="1"/>
  <c r="L46" i="1" s="1"/>
  <c r="L50" i="1" s="1"/>
  <c r="E22" i="2" l="1"/>
  <c r="E28" i="2" s="1"/>
  <c r="E39" i="2" s="1"/>
  <c r="E34" i="2"/>
  <c r="E32" i="3"/>
  <c r="E18" i="3"/>
  <c r="L96" i="1" l="1"/>
  <c r="L101" i="1" s="1"/>
  <c r="J12" i="1"/>
  <c r="J27" i="1" s="1"/>
  <c r="J30" i="1" s="1"/>
  <c r="J37" i="1" s="1"/>
  <c r="J43" i="1" s="1"/>
  <c r="J46" i="1" s="1"/>
  <c r="J50" i="1" s="1"/>
  <c r="F17" i="3"/>
  <c r="F13" i="2"/>
  <c r="F16" i="2" s="1"/>
  <c r="F34" i="2" l="1"/>
  <c r="F22" i="2"/>
  <c r="F28" i="2" s="1"/>
  <c r="F31" i="2" s="1"/>
  <c r="F39" i="2" s="1"/>
  <c r="F32" i="3"/>
  <c r="F18" i="3"/>
  <c r="J96" i="1" l="1"/>
  <c r="J101" i="1" s="1"/>
  <c r="G32" i="3"/>
  <c r="G17" i="3"/>
  <c r="G18" i="3" l="1"/>
  <c r="I12" i="1"/>
  <c r="I27" i="1" s="1"/>
  <c r="I30" i="1" s="1"/>
  <c r="I37" i="1" s="1"/>
  <c r="I43" i="1" s="1"/>
  <c r="I46" i="1" s="1"/>
  <c r="I50" i="1" s="1"/>
  <c r="I96" i="1" l="1"/>
  <c r="I101" i="1" s="1"/>
  <c r="G13" i="2"/>
  <c r="G16" i="2" s="1"/>
  <c r="G34" i="2" l="1"/>
  <c r="G22" i="2"/>
  <c r="G28" i="2" s="1"/>
  <c r="G31" i="2" s="1"/>
  <c r="G39" i="2" s="1"/>
  <c r="H95" i="1"/>
  <c r="H94" i="1"/>
  <c r="H93" i="1"/>
  <c r="H12" i="1"/>
  <c r="H27" i="1" s="1"/>
  <c r="H30" i="1" s="1"/>
  <c r="H37" i="1" s="1"/>
  <c r="H43" i="1" s="1"/>
  <c r="H46" i="1" s="1"/>
  <c r="H50" i="1" s="1"/>
  <c r="H17" i="3"/>
  <c r="H13" i="2"/>
  <c r="H16" i="2" s="1"/>
  <c r="H34" i="2" l="1"/>
  <c r="H22" i="2"/>
  <c r="H28" i="2" s="1"/>
  <c r="H31" i="2" s="1"/>
  <c r="H39" i="2" s="1"/>
  <c r="H32" i="3"/>
  <c r="H18" i="3"/>
  <c r="H96" i="1" l="1"/>
  <c r="H101" i="1" s="1"/>
  <c r="I13" i="2"/>
  <c r="I16" i="2" s="1"/>
  <c r="G80" i="1"/>
  <c r="G95" i="1" s="1"/>
  <c r="G79" i="1"/>
  <c r="G94" i="1" s="1"/>
  <c r="G12" i="1"/>
  <c r="G27" i="1" s="1"/>
  <c r="G30" i="1" s="1"/>
  <c r="G37" i="1" s="1"/>
  <c r="G43" i="1" s="1"/>
  <c r="G46" i="1" s="1"/>
  <c r="G50" i="1" s="1"/>
  <c r="I17" i="3"/>
  <c r="I22" i="2" l="1"/>
  <c r="I28" i="2" s="1"/>
  <c r="I31" i="2" s="1"/>
  <c r="I39" i="2" s="1"/>
  <c r="I34" i="2"/>
  <c r="I32" i="3"/>
  <c r="I18" i="3"/>
  <c r="G96" i="1" l="1"/>
  <c r="G101" i="1" s="1"/>
  <c r="F80" i="1"/>
  <c r="F95" i="1" s="1"/>
  <c r="F79" i="1"/>
  <c r="F94" i="1" s="1"/>
  <c r="F12" i="1"/>
  <c r="F27" i="1" s="1"/>
  <c r="F30" i="1" s="1"/>
  <c r="F37" i="1" s="1"/>
  <c r="F43" i="1" s="1"/>
  <c r="J8" i="2" l="1"/>
  <c r="J13" i="2" s="1"/>
  <c r="J16" i="2" s="1"/>
  <c r="F46" i="1"/>
  <c r="F50" i="1" s="1"/>
  <c r="E12" i="1"/>
  <c r="E27" i="1" s="1"/>
  <c r="E30" i="1" s="1"/>
  <c r="E37" i="1" s="1"/>
  <c r="E43" i="1" s="1"/>
  <c r="J17" i="3"/>
  <c r="E46" i="1" l="1"/>
  <c r="E50" i="1" s="1"/>
  <c r="K8" i="2"/>
  <c r="K13" i="2" s="1"/>
  <c r="K16" i="2" s="1"/>
  <c r="J22" i="2"/>
  <c r="J28" i="2" s="1"/>
  <c r="J31" i="2" s="1"/>
  <c r="J39" i="2" s="1"/>
  <c r="J34" i="2"/>
  <c r="F96" i="1"/>
  <c r="F101" i="1" s="1"/>
  <c r="K22" i="2"/>
  <c r="K28" i="2" s="1"/>
  <c r="K31" i="2" s="1"/>
  <c r="K39" i="2" s="1"/>
  <c r="K34" i="2"/>
  <c r="J32" i="3"/>
  <c r="J18" i="3"/>
  <c r="K17" i="3"/>
  <c r="E96" i="1" l="1"/>
  <c r="E101" i="1" s="1"/>
  <c r="K18" i="3"/>
  <c r="K32" i="3"/>
  <c r="D96" i="1" l="1"/>
  <c r="D101" i="1" s="1"/>
  <c r="L13" i="2"/>
  <c r="L16" i="2" s="1"/>
  <c r="L22" i="2" l="1"/>
  <c r="L28" i="2" s="1"/>
  <c r="L31" i="2" s="1"/>
  <c r="L39" i="2" s="1"/>
  <c r="L34" i="2"/>
  <c r="M27" i="2"/>
  <c r="M36" i="2" s="1"/>
  <c r="M13" i="2" l="1"/>
  <c r="M16" i="2" s="1"/>
  <c r="M34" i="2" l="1"/>
  <c r="M22" i="2"/>
  <c r="M28" i="2" s="1"/>
  <c r="M31" i="2" s="1"/>
  <c r="M39" i="2" s="1"/>
  <c r="N24" i="1" l="1"/>
  <c r="N12" i="1" l="1"/>
  <c r="N27" i="1" s="1"/>
  <c r="N30" i="1" s="1"/>
  <c r="N37" i="1" l="1"/>
  <c r="N43" i="1" s="1"/>
  <c r="N46" i="1" l="1"/>
  <c r="N50" i="1" s="1"/>
  <c r="N96" i="1"/>
  <c r="N101" i="1" s="1"/>
  <c r="N89" i="1" l="1"/>
</calcChain>
</file>

<file path=xl/sharedStrings.xml><?xml version="1.0" encoding="utf-8"?>
<sst xmlns="http://schemas.openxmlformats.org/spreadsheetml/2006/main" count="530" uniqueCount="166">
  <si>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</si>
  <si>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</si>
  <si>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</si>
  <si>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</si>
  <si>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</si>
  <si>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</si>
  <si>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</si>
  <si>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</si>
  <si>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</si>
  <si>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</si>
  <si>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</si>
  <si>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</si>
  <si>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</si>
  <si>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</si>
  <si>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</si>
  <si>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</si>
  <si>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</si>
  <si>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</si>
  <si>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</si>
  <si>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</si>
  <si>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</si>
  <si>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</si>
  <si>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</si>
  <si>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</si>
  <si>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</si>
  <si>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</si>
  <si>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</si>
  <si>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</si>
  <si>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</si>
  <si>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</si>
  <si>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</si>
  <si>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</si>
  <si>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</si>
  <si>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</si>
  <si>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</si>
  <si>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</si>
  <si>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</si>
  <si>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</si>
  <si>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</si>
  <si>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</si>
  <si>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</si>
  <si>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</si>
  <si>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</si>
  <si>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</si>
  <si>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</si>
  <si>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</si>
  <si>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</si>
  <si>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</si>
  <si>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</si>
  <si>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</si>
  <si>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</si>
  <si>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</si>
  <si>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</si>
  <si>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</si>
  <si>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</si>
  <si>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</si>
  <si>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</si>
  <si>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</si>
  <si>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</si>
  <si>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</si>
  <si>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</si>
  <si>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</si>
  <si>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</si>
  <si>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</si>
  <si>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</si>
  <si>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</si>
  <si>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</si>
  <si>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</si>
  <si>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</si>
  <si>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</si>
  <si>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</si>
  <si>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</si>
  <si>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</si>
  <si>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</si>
  <si>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</si>
  <si>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</si>
  <si>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</si>
  <si>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</si>
  <si>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</si>
  <si>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</si>
  <si>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</si>
  <si>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</si>
  <si>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</si>
  <si>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</si>
  <si>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</si>
  <si>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</si>
  <si>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</si>
  <si>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</si>
  <si>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</si>
  <si>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</si>
  <si>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</si>
  <si>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</si>
  <si>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</si>
  <si>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</si>
  <si>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</si>
  <si>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</si>
  <si>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</si>
  <si>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</si>
  <si>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</si>
  <si>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</si>
  <si>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</si>
  <si>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</si>
  <si>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</si>
  <si>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</si>
  <si>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</si>
  <si>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</si>
  <si>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</si>
  <si>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</si>
  <si>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</si>
  <si>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</si>
  <si>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</si>
  <si>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</si>
  <si>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</si>
  <si>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Upptagande av lån</t>
  </si>
  <si>
    <t>Återbetalning av lån</t>
  </si>
  <si>
    <t>Amortering av leasingskuld</t>
  </si>
  <si>
    <t>Nyemission hybridobligationer</t>
  </si>
  <si>
    <t>Nyemission aktier</t>
  </si>
  <si>
    <t>Ränta på hybridobligationer</t>
  </si>
  <si>
    <t>Utdelning preferensaktier</t>
  </si>
  <si>
    <t>Inlösen preferensaktier</t>
  </si>
  <si>
    <t>Övrig i finansieringsverksamheten</t>
  </si>
  <si>
    <t>Kv.4</t>
  </si>
  <si>
    <t>aug-okt</t>
  </si>
  <si>
    <t>Kv.1-kv4</t>
  </si>
  <si>
    <t>Nov-Okt</t>
  </si>
  <si>
    <t>-</t>
  </si>
  <si>
    <t>2021-2022</t>
  </si>
  <si>
    <t>Cargo and mail revenue</t>
  </si>
  <si>
    <t>Data and telecommunications costs</t>
  </si>
  <si>
    <t>Leasing costs aircraft</t>
  </si>
  <si>
    <t>Share of income in affiliated companies</t>
  </si>
  <si>
    <t>Payroll expenses</t>
  </si>
  <si>
    <t>Selling and distribution costs</t>
  </si>
  <si>
    <t>Jet fuel</t>
  </si>
  <si>
    <t>Government user fees</t>
  </si>
  <si>
    <t>Immateriella tillgångar</t>
  </si>
  <si>
    <t>Materiella anläggningstillgångar Avskrivning</t>
  </si>
  <si>
    <t>Nyttjanderättstillgångar Avskrivning</t>
  </si>
  <si>
    <t>Finansiella intäkter</t>
  </si>
  <si>
    <t>YTD</t>
  </si>
  <si>
    <t>CASK calculation</t>
  </si>
  <si>
    <t>Nominal CASK</t>
  </si>
  <si>
    <t>Aircraft leasing costs</t>
  </si>
  <si>
    <t>Depreciation</t>
  </si>
  <si>
    <t>Operating expenditure</t>
  </si>
  <si>
    <t>Total ASK</t>
  </si>
  <si>
    <t>Unit cost, nominal</t>
  </si>
  <si>
    <t>Currency adjusted CASK</t>
  </si>
  <si>
    <t>Currency effects between FY21 and FY20</t>
  </si>
  <si>
    <t>Exch. rate diff. related to operations</t>
  </si>
  <si>
    <t>Items affecting comparability</t>
  </si>
  <si>
    <t>Adjusted net operating expenditure</t>
  </si>
  <si>
    <t>Unit cost, currency adjusted</t>
  </si>
  <si>
    <t>YIELD calculation</t>
  </si>
  <si>
    <t>Currency</t>
  </si>
  <si>
    <t>adjusted</t>
  </si>
  <si>
    <t>RPK, schedule</t>
  </si>
  <si>
    <t>Yield</t>
  </si>
  <si>
    <t>PASK calculation</t>
  </si>
  <si>
    <t>ASK, schedule</t>
  </si>
  <si>
    <t>PASK</t>
  </si>
  <si>
    <t>RASK calculation</t>
  </si>
  <si>
    <t>Total traffic revenue</t>
  </si>
  <si>
    <t>ASK, total</t>
  </si>
  <si>
    <t>RASK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</si>
</sst>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26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rgb="FFFF0000"/>
      <name val="Scandinavian"/>
      <family val="3"/>
    </font>
    <font>
      <sz val="10"/>
      <color theme="0"/>
      <name val="Scandinavian"/>
      <family val="3"/>
    </font>
    <font>
      <sz val="10"/>
      <color theme="0"/>
      <name val="Scandinavian Regular"/>
      <family val="2"/>
    </font>
    <font>
      <b/>
      <sz val="9"/>
      <color theme="0"/>
      <name val="Scandinavian"/>
      <family val="3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name val="Scandinavian"/>
      <family val="2"/>
    </font>
    <font>
      <sz val="11"/>
      <name val="Calibri"/>
      <family val="2"/>
      <scheme val="minor"/>
    </font>
    <font>
      <sz val="9"/>
      <color rgb="FFFF0000"/>
      <name val="Scandinavi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0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1" xfId="0" applyNumberFormat="1" applyFont="1" applyFill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3" fontId="6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3" fontId="2" fillId="0" borderId="1" xfId="20" applyNumberFormat="1" applyFont="1" applyFill="1" applyBorder="1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7" fillId="0" borderId="0" xfId="0" applyFont="1" applyFill="1"/>
    <xf numFmtId="0" fontId="6" fillId="0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0" fontId="16" fillId="0" borderId="0" xfId="0" applyFont="1" applyFill="1"/>
    <xf numFmtId="3" fontId="3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3" fontId="17" fillId="0" borderId="0" xfId="0" applyNumberFormat="1" applyFont="1"/>
    <xf numFmtId="3" fontId="17" fillId="0" borderId="1" xfId="0" applyNumberFormat="1" applyFont="1" applyBorder="1"/>
    <xf numFmtId="3" fontId="17" fillId="0" borderId="0" xfId="0" applyNumberFormat="1" applyFont="1" applyFill="1"/>
    <xf numFmtId="3" fontId="18" fillId="0" borderId="0" xfId="0" applyNumberFormat="1" applyFont="1"/>
    <xf numFmtId="0" fontId="4" fillId="0" borderId="0" xfId="0" applyFont="1" applyFill="1"/>
    <xf numFmtId="0" fontId="19" fillId="0" borderId="0" xfId="0" applyFont="1" applyFill="1"/>
    <xf numFmtId="1" fontId="2" fillId="0" borderId="0" xfId="0" applyNumberFormat="1" applyFont="1"/>
    <xf numFmtId="0" fontId="9" fillId="0" borderId="0" xfId="0" applyFont="1"/>
    <xf numFmtId="1" fontId="2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0" fontId="21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1" xfId="0" applyFont="1" applyBorder="1"/>
    <xf numFmtId="0" fontId="22" fillId="0" borderId="0" xfId="0" applyFont="1"/>
    <xf numFmtId="0" fontId="3" fillId="0" borderId="1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23" fillId="0" borderId="0" xfId="0" applyFont="1" applyAlignment="1">
      <alignment horizontal="right"/>
    </xf>
    <xf numFmtId="0" fontId="2" fillId="0" borderId="4" xfId="0" applyFont="1" applyBorder="1"/>
    <xf numFmtId="3" fontId="24" fillId="0" borderId="0" xfId="0" applyNumberFormat="1" applyFont="1"/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0" fontId="24" fillId="0" borderId="0" xfId="0" applyFont="1"/>
    <xf numFmtId="0" fontId="2" fillId="0" borderId="3" xfId="0" applyFont="1" applyBorder="1"/>
    <xf numFmtId="3" fontId="24" fillId="0" borderId="1" xfId="0" applyNumberFormat="1" applyFont="1" applyBorder="1"/>
    <xf numFmtId="0" fontId="24" fillId="0" borderId="1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horizontal="right"/>
    </xf>
    <xf numFmtId="0" fontId="21" fillId="0" borderId="1" xfId="0" applyFont="1" applyBorder="1"/>
    <xf numFmtId="0" fontId="3" fillId="0" borderId="4" xfId="0" applyFont="1" applyBorder="1"/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1" fillId="0" borderId="4" xfId="0" applyFont="1" applyBorder="1"/>
    <xf numFmtId="2" fontId="24" fillId="0" borderId="0" xfId="0" applyNumberFormat="1" applyFont="1"/>
    <xf numFmtId="2" fontId="21" fillId="0" borderId="0" xfId="0" applyNumberFormat="1" applyFont="1"/>
    <xf numFmtId="0" fontId="25" fillId="0" borderId="1" xfId="0" applyFont="1" applyBorder="1"/>
    <xf numFmtId="0" fontId="23" fillId="0" borderId="1" xfId="0" applyFont="1" applyBorder="1"/>
    <xf numFmtId="0" fontId="3" fillId="0" borderId="1" xfId="0" applyFont="1" applyBorder="1"/>
    <xf numFmtId="0" fontId="21" fillId="0" borderId="1" xfId="0" applyFont="1" applyBorder="1" applyAlignment="1">
      <alignment horizontal="right"/>
    </xf>
    <xf numFmtId="0" fontId="23" fillId="0" borderId="0" xfId="0" applyFont="1"/>
    <xf numFmtId="2" fontId="24" fillId="0" borderId="1" xfId="0" applyNumberFormat="1" applyFont="1" applyBorder="1"/>
    <xf numFmtId="2" fontId="21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3" fillId="0" borderId="4" xfId="0" applyFont="1" applyBorder="1"/>
    <xf numFmtId="0" fontId="24" fillId="0" borderId="0" xfId="0" applyFont="1" applyAlignment="1">
      <alignment horizontal="right"/>
    </xf>
    <xf numFmtId="0" fontId="23" fillId="0" borderId="2" xfId="0" applyFont="1" applyBorder="1"/>
    <xf numFmtId="0" fontId="20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4" fillId="0" borderId="1" xfId="0" applyFont="1" applyBorder="1" applyAlignment="1">
      <alignment horizontal="right"/>
    </xf>
    <xf numFmtId="2" fontId="3" fillId="0" borderId="0" xfId="0" applyNumberFormat="1" applyFont="1"/>
    <xf numFmtId="2" fontId="23" fillId="0" borderId="0" xfId="0" applyNumberFormat="1" applyFont="1"/>
    <xf numFmtId="0" fontId="21" fillId="0" borderId="0" xfId="0" applyFont="1"/>
  </cellXfs>
  <cellStyles count="30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2316\Downloads\PL-Balancesheet-Cash-flow_Q1-2022-Engli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-Flow"/>
      <sheetName val="CASK, Yield, PASK &amp; RASK_x0009__x0009__x0009__x0009__x0009__x0009__x0009_"/>
    </sheetNames>
    <sheetDataSet>
      <sheetData sheetId="0">
        <row r="8">
          <cell r="E8">
            <v>88</v>
          </cell>
          <cell r="J8">
            <v>267</v>
          </cell>
        </row>
        <row r="9">
          <cell r="E9">
            <v>163</v>
          </cell>
          <cell r="J9">
            <v>350</v>
          </cell>
        </row>
        <row r="10">
          <cell r="E10">
            <v>366</v>
          </cell>
          <cell r="J10">
            <v>497</v>
          </cell>
        </row>
        <row r="11">
          <cell r="E11">
            <v>605</v>
          </cell>
          <cell r="J11">
            <v>651</v>
          </cell>
        </row>
        <row r="24">
          <cell r="E24">
            <v>-4210</v>
          </cell>
          <cell r="J24">
            <v>-4989</v>
          </cell>
        </row>
        <row r="29">
          <cell r="E29">
            <v>15</v>
          </cell>
          <cell r="J29">
            <v>-3</v>
          </cell>
        </row>
        <row r="32">
          <cell r="E32">
            <v>-38</v>
          </cell>
          <cell r="J32">
            <v>-37</v>
          </cell>
        </row>
        <row r="33">
          <cell r="E33">
            <v>-420</v>
          </cell>
          <cell r="J33">
            <v>-352</v>
          </cell>
        </row>
        <row r="34">
          <cell r="E34">
            <v>-1107</v>
          </cell>
          <cell r="J34">
            <v>-823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2"/>
  <sheetViews>
    <sheetView zoomScale="110" zoomScaleNormal="110" workbookViewId="0">
      <pane xSplit="2" ySplit="6" topLeftCell="F37" activePane="bottomRight" state="frozen"/>
      <selection activeCell="G22" sqref="G22"/>
      <selection pane="topRight" activeCell="G22" sqref="G22"/>
      <selection pane="bottomLeft" activeCell="G22" sqref="G22"/>
      <selection pane="bottomRight" activeCell="I7" sqref="I7"/>
    </sheetView>
  </sheetViews>
  <sheetFormatPr defaultColWidth="11.42578125" defaultRowHeight="15.75"/>
  <cols>
    <col min="1" max="1" width="3.85546875" style="14" customWidth="1"/>
    <col min="2" max="2" width="40.140625" style="18" customWidth="1"/>
    <col min="3" max="3" width="9.5703125" style="14" customWidth="1"/>
    <col min="4" max="8" width="9.85546875" style="14" customWidth="1"/>
    <col min="9" max="10" width="9.5703125" style="14" customWidth="1"/>
    <col min="11" max="11" width="9.85546875" style="14" customWidth="1"/>
    <col min="12" max="12" width="9.5703125" style="14" customWidth="1"/>
    <col min="13" max="14" width="9.85546875" style="14" customWidth="1"/>
    <col min="15" max="16384" width="11.42578125" style="14"/>
  </cols>
  <sheetData>
    <row r="1" spans="1:14" ht="26.25">
      <c r="B1" s="32" t="s">
        <v>0</v>
      </c>
    </row>
    <row r="2" spans="1:14" s="1" customFormat="1" ht="12"/>
    <row r="3" spans="1:14" s="1" customFormat="1" ht="12"/>
    <row r="4" spans="1:14" s="1" customFormat="1" ht="12">
      <c r="B4" s="35"/>
      <c r="C4" s="2" t="s">
        <v>88</v>
      </c>
      <c r="D4" s="2">
        <v>2020</v>
      </c>
      <c r="E4" s="2">
        <v>2020</v>
      </c>
      <c r="F4" s="2">
        <v>2020</v>
      </c>
      <c r="G4" s="2" t="s">
        <v>88</v>
      </c>
      <c r="H4" s="2" t="s">
        <v>108</v>
      </c>
      <c r="I4" s="2">
        <v>2021</v>
      </c>
      <c r="J4" s="2">
        <v>2021</v>
      </c>
      <c r="K4" s="2">
        <v>2021</v>
      </c>
      <c r="L4" s="2" t="s">
        <v>108</v>
      </c>
      <c r="M4" s="2" t="s">
        <v>127</v>
      </c>
      <c r="N4" s="2">
        <v>2022</v>
      </c>
    </row>
    <row r="5" spans="1:14" s="1" customFormat="1" ht="12">
      <c r="B5" s="30" t="s">
        <v>1</v>
      </c>
      <c r="C5" s="15" t="s">
        <v>4</v>
      </c>
      <c r="D5" s="15" t="s">
        <v>5</v>
      </c>
      <c r="E5" s="15" t="s">
        <v>2</v>
      </c>
      <c r="F5" s="15" t="s">
        <v>3</v>
      </c>
      <c r="G5" s="15" t="s">
        <v>4</v>
      </c>
      <c r="H5" s="15" t="s">
        <v>4</v>
      </c>
      <c r="I5" s="15" t="s">
        <v>5</v>
      </c>
      <c r="J5" s="15" t="s">
        <v>2</v>
      </c>
      <c r="K5" s="15" t="s">
        <v>3</v>
      </c>
      <c r="L5" s="15" t="s">
        <v>4</v>
      </c>
      <c r="M5" s="15" t="s">
        <v>4</v>
      </c>
      <c r="N5" s="15" t="s">
        <v>5</v>
      </c>
    </row>
    <row r="6" spans="1:14" s="1" customFormat="1" ht="12">
      <c r="B6" s="35" t="s">
        <v>6</v>
      </c>
      <c r="C6" s="16" t="s">
        <v>9</v>
      </c>
      <c r="D6" s="16" t="s">
        <v>10</v>
      </c>
      <c r="E6" s="16" t="s">
        <v>7</v>
      </c>
      <c r="F6" s="16" t="s">
        <v>8</v>
      </c>
      <c r="G6" s="16" t="s">
        <v>8</v>
      </c>
      <c r="H6" s="16" t="s">
        <v>9</v>
      </c>
      <c r="I6" s="16" t="s">
        <v>10</v>
      </c>
      <c r="J6" s="16" t="s">
        <v>7</v>
      </c>
      <c r="K6" s="16" t="s">
        <v>8</v>
      </c>
      <c r="L6" s="16" t="s">
        <v>8</v>
      </c>
      <c r="M6" s="16" t="s">
        <v>9</v>
      </c>
      <c r="N6" s="16" t="s">
        <v>10</v>
      </c>
    </row>
    <row r="7" spans="1:14" s="1" customFormat="1" ht="12.75">
      <c r="A7" s="45" t="s">
        <v>11</v>
      </c>
      <c r="B7" s="44" t="s">
        <v>11</v>
      </c>
      <c r="C7" s="3">
        <v>7315</v>
      </c>
      <c r="D7" s="3">
        <v>3462</v>
      </c>
      <c r="E7" s="3">
        <v>1353</v>
      </c>
      <c r="F7" s="3">
        <v>1813</v>
      </c>
      <c r="G7" s="3">
        <v>13943</v>
      </c>
      <c r="H7" s="3">
        <v>1097</v>
      </c>
      <c r="I7" s="3">
        <v>950</v>
      </c>
      <c r="J7" s="3">
        <v>2357</v>
      </c>
      <c r="K7" s="3">
        <v>3997</v>
      </c>
      <c r="L7" s="3">
        <v>8401</v>
      </c>
      <c r="M7" s="3">
        <v>3506</v>
      </c>
      <c r="N7" s="3">
        <v>4809</v>
      </c>
    </row>
    <row r="8" spans="1:14" s="1" customFormat="1" ht="12.75">
      <c r="A8" s="45" t="s">
        <v>12</v>
      </c>
      <c r="B8" s="44" t="s">
        <v>12</v>
      </c>
      <c r="C8" s="3">
        <v>245</v>
      </c>
      <c r="D8" s="3">
        <v>201</v>
      </c>
      <c r="E8" s="3">
        <v>30</v>
      </c>
      <c r="F8" s="3">
        <v>88</v>
      </c>
      <c r="G8" s="3">
        <v>564</v>
      </c>
      <c r="H8" s="3">
        <v>9</v>
      </c>
      <c r="I8" s="3">
        <v>3</v>
      </c>
      <c r="J8" s="3">
        <v>105</v>
      </c>
      <c r="K8" s="3">
        <v>267</v>
      </c>
      <c r="L8" s="3">
        <v>384</v>
      </c>
      <c r="M8" s="3">
        <v>168</v>
      </c>
      <c r="N8" s="3">
        <v>188</v>
      </c>
    </row>
    <row r="9" spans="1:14" s="1" customFormat="1" ht="12.75">
      <c r="A9" s="45" t="s">
        <v>128</v>
      </c>
      <c r="B9" s="44" t="s">
        <v>109</v>
      </c>
      <c r="C9" s="3">
        <v>366</v>
      </c>
      <c r="D9" s="3">
        <v>160</v>
      </c>
      <c r="E9" s="3">
        <v>188</v>
      </c>
      <c r="F9" s="3">
        <v>163</v>
      </c>
      <c r="G9" s="3">
        <v>877</v>
      </c>
      <c r="H9" s="3">
        <v>231</v>
      </c>
      <c r="I9" s="3">
        <v>282</v>
      </c>
      <c r="J9" s="3">
        <v>303</v>
      </c>
      <c r="K9" s="3">
        <v>350</v>
      </c>
      <c r="L9" s="3">
        <v>1166</v>
      </c>
      <c r="M9" s="3">
        <v>464</v>
      </c>
      <c r="N9" s="3">
        <v>423</v>
      </c>
    </row>
    <row r="10" spans="1:14" s="1" customFormat="1" ht="12.75">
      <c r="A10" s="45" t="s">
        <v>13</v>
      </c>
      <c r="B10" s="44" t="s">
        <v>13</v>
      </c>
      <c r="C10" s="3">
        <v>671</v>
      </c>
      <c r="D10" s="3">
        <v>553</v>
      </c>
      <c r="E10" s="3">
        <v>228</v>
      </c>
      <c r="F10" s="3">
        <v>366</v>
      </c>
      <c r="G10" s="3">
        <v>1818</v>
      </c>
      <c r="H10" s="3">
        <v>400</v>
      </c>
      <c r="I10" s="3">
        <v>229</v>
      </c>
      <c r="J10" s="3">
        <v>487</v>
      </c>
      <c r="K10" s="3">
        <v>497</v>
      </c>
      <c r="L10" s="3">
        <v>1613</v>
      </c>
      <c r="M10" s="3">
        <v>686</v>
      </c>
      <c r="N10" s="3">
        <v>807</v>
      </c>
    </row>
    <row r="11" spans="1:14" s="1" customFormat="1" ht="12.75">
      <c r="A11" s="46" t="s">
        <v>14</v>
      </c>
      <c r="B11" s="6" t="s">
        <v>14</v>
      </c>
      <c r="C11" s="4">
        <v>1110</v>
      </c>
      <c r="D11" s="4">
        <v>888</v>
      </c>
      <c r="E11" s="4">
        <v>708</v>
      </c>
      <c r="F11" s="4">
        <v>605</v>
      </c>
      <c r="G11" s="4">
        <v>3311</v>
      </c>
      <c r="H11" s="4">
        <v>545</v>
      </c>
      <c r="I11" s="4">
        <v>468</v>
      </c>
      <c r="J11" s="4">
        <v>730</v>
      </c>
      <c r="K11" s="4">
        <v>651</v>
      </c>
      <c r="L11" s="4">
        <v>2394</v>
      </c>
      <c r="M11" s="4">
        <v>721</v>
      </c>
      <c r="N11" s="4">
        <v>821</v>
      </c>
    </row>
    <row r="12" spans="1:14" s="30" customFormat="1" ht="12">
      <c r="B12" s="31" t="s">
        <v>15</v>
      </c>
      <c r="C12" s="13">
        <v>9707</v>
      </c>
      <c r="D12" s="13">
        <v>5264</v>
      </c>
      <c r="E12" s="13">
        <f t="shared" ref="E12:J12" si="0">SUM(E7:E11)</f>
        <v>2507</v>
      </c>
      <c r="F12" s="13">
        <f t="shared" si="0"/>
        <v>3035</v>
      </c>
      <c r="G12" s="13">
        <f t="shared" si="0"/>
        <v>20513</v>
      </c>
      <c r="H12" s="13">
        <f t="shared" si="0"/>
        <v>2282</v>
      </c>
      <c r="I12" s="13">
        <f t="shared" si="0"/>
        <v>1932</v>
      </c>
      <c r="J12" s="13">
        <f t="shared" si="0"/>
        <v>3982</v>
      </c>
      <c r="K12" s="13">
        <f t="shared" ref="K12" si="1">SUM(K7:K11)</f>
        <v>5762</v>
      </c>
      <c r="L12" s="13">
        <f t="shared" ref="L12:M12" si="2">SUM(L7:L11)</f>
        <v>13958</v>
      </c>
      <c r="M12" s="13">
        <f t="shared" si="2"/>
        <v>5545</v>
      </c>
      <c r="N12" s="13">
        <f t="shared" ref="N12" si="3">SUM(N7:N11)</f>
        <v>7048</v>
      </c>
    </row>
    <row r="13" spans="1:14" s="1" customFormat="1" ht="12">
      <c r="B13" s="4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2.75">
      <c r="A14" s="45" t="s">
        <v>132</v>
      </c>
      <c r="B14" s="44" t="s">
        <v>89</v>
      </c>
      <c r="C14" s="22">
        <v>-2575</v>
      </c>
      <c r="D14" s="22">
        <v>-1995</v>
      </c>
      <c r="E14" s="22">
        <v>-1664</v>
      </c>
      <c r="F14" s="22">
        <v>-1735</v>
      </c>
      <c r="G14" s="22">
        <v>-7969</v>
      </c>
      <c r="H14" s="22">
        <v>-1428</v>
      </c>
      <c r="I14" s="22">
        <v>-1288</v>
      </c>
      <c r="J14" s="22">
        <v>-1350</v>
      </c>
      <c r="K14" s="22">
        <v>-1438</v>
      </c>
      <c r="L14" s="22">
        <v>-5504</v>
      </c>
      <c r="M14" s="22">
        <v>-1652</v>
      </c>
      <c r="N14" s="3">
        <v>-1749</v>
      </c>
    </row>
    <row r="15" spans="1:14" s="1" customFormat="1" ht="12.75">
      <c r="A15" s="45" t="s">
        <v>133</v>
      </c>
      <c r="B15" s="44" t="s">
        <v>94</v>
      </c>
      <c r="C15" s="22">
        <v>-711</v>
      </c>
      <c r="D15" s="22">
        <v>-377</v>
      </c>
      <c r="E15" s="22">
        <v>-101</v>
      </c>
      <c r="F15" s="22">
        <v>-163</v>
      </c>
      <c r="G15" s="22">
        <v>-1352</v>
      </c>
      <c r="H15" s="22">
        <v>-118</v>
      </c>
      <c r="I15" s="22">
        <v>-145</v>
      </c>
      <c r="J15" s="22">
        <v>-217</v>
      </c>
      <c r="K15" s="22">
        <v>-288</v>
      </c>
      <c r="L15" s="22">
        <v>-768</v>
      </c>
      <c r="M15" s="22">
        <v>-325</v>
      </c>
      <c r="N15" s="3">
        <v>-399</v>
      </c>
    </row>
    <row r="16" spans="1:14" s="1" customFormat="1" ht="12.75">
      <c r="A16" s="47" t="s">
        <v>134</v>
      </c>
      <c r="B16" s="44" t="s">
        <v>95</v>
      </c>
      <c r="C16" s="22">
        <v>-2020</v>
      </c>
      <c r="D16" s="22">
        <v>-2504</v>
      </c>
      <c r="E16" s="22">
        <v>-331</v>
      </c>
      <c r="F16" s="22">
        <v>-771</v>
      </c>
      <c r="G16" s="22">
        <v>-5626</v>
      </c>
      <c r="H16" s="22">
        <v>-428</v>
      </c>
      <c r="I16" s="22">
        <v>-291</v>
      </c>
      <c r="J16" s="22">
        <v>-618</v>
      </c>
      <c r="K16" s="22">
        <v>-1033</v>
      </c>
      <c r="L16" s="22">
        <v>-2370</v>
      </c>
      <c r="M16" s="22">
        <v>-1136</v>
      </c>
      <c r="N16" s="3">
        <v>-1674</v>
      </c>
    </row>
    <row r="17" spans="1:14" s="1" customFormat="1" ht="12.75">
      <c r="A17" s="47" t="s">
        <v>135</v>
      </c>
      <c r="B17" s="44" t="s">
        <v>106</v>
      </c>
      <c r="C17" s="22">
        <v>-917</v>
      </c>
      <c r="D17" s="22">
        <v>-523</v>
      </c>
      <c r="E17" s="22">
        <v>-162</v>
      </c>
      <c r="F17" s="22">
        <v>-270</v>
      </c>
      <c r="G17" s="22">
        <v>-1872</v>
      </c>
      <c r="H17" s="22">
        <v>-222</v>
      </c>
      <c r="I17" s="22">
        <v>-203</v>
      </c>
      <c r="J17" s="22">
        <v>-368</v>
      </c>
      <c r="K17" s="22">
        <v>-549</v>
      </c>
      <c r="L17" s="22">
        <v>-1342</v>
      </c>
      <c r="M17" s="22">
        <v>-569</v>
      </c>
      <c r="N17" s="3">
        <v>-622</v>
      </c>
    </row>
    <row r="18" spans="1:14" s="1" customFormat="1" ht="12.75">
      <c r="A18" s="47" t="s">
        <v>16</v>
      </c>
      <c r="B18" s="44" t="s">
        <v>16</v>
      </c>
      <c r="C18" s="22">
        <v>-269</v>
      </c>
      <c r="D18" s="22">
        <v>-169</v>
      </c>
      <c r="E18" s="22">
        <v>-47</v>
      </c>
      <c r="F18" s="22">
        <v>-87</v>
      </c>
      <c r="G18" s="22">
        <v>-572</v>
      </c>
      <c r="H18" s="22">
        <v>-64</v>
      </c>
      <c r="I18" s="22">
        <v>-68</v>
      </c>
      <c r="J18" s="22">
        <v>-98</v>
      </c>
      <c r="K18" s="22">
        <v>-143</v>
      </c>
      <c r="L18" s="22">
        <v>-373</v>
      </c>
      <c r="M18" s="22">
        <v>-153</v>
      </c>
      <c r="N18" s="3">
        <v>-173</v>
      </c>
    </row>
    <row r="19" spans="1:14" s="1" customFormat="1" ht="12.75">
      <c r="A19" s="47" t="s">
        <v>17</v>
      </c>
      <c r="B19" s="44" t="s">
        <v>17</v>
      </c>
      <c r="C19" s="22">
        <v>-680</v>
      </c>
      <c r="D19" s="22">
        <v>-387</v>
      </c>
      <c r="E19" s="22">
        <v>-126</v>
      </c>
      <c r="F19" s="22">
        <v>-212</v>
      </c>
      <c r="G19" s="22">
        <v>-1405</v>
      </c>
      <c r="H19" s="22">
        <v>-216</v>
      </c>
      <c r="I19" s="22">
        <v>-165</v>
      </c>
      <c r="J19" s="22">
        <v>-223</v>
      </c>
      <c r="K19" s="22">
        <v>-359</v>
      </c>
      <c r="L19" s="22">
        <v>-963</v>
      </c>
      <c r="M19" s="22">
        <v>-443</v>
      </c>
      <c r="N19" s="3">
        <v>-451</v>
      </c>
    </row>
    <row r="20" spans="1:14" s="1" customFormat="1" ht="12.75">
      <c r="A20" s="47" t="s">
        <v>18</v>
      </c>
      <c r="B20" s="44" t="s">
        <v>18</v>
      </c>
      <c r="C20" s="22">
        <v>-560</v>
      </c>
      <c r="D20" s="22">
        <v>-590</v>
      </c>
      <c r="E20" s="22">
        <v>-275</v>
      </c>
      <c r="F20" s="22">
        <v>-440</v>
      </c>
      <c r="G20" s="22">
        <v>-1865</v>
      </c>
      <c r="H20" s="22">
        <v>-263</v>
      </c>
      <c r="I20" s="22">
        <v>-359</v>
      </c>
      <c r="J20" s="22">
        <v>-336</v>
      </c>
      <c r="K20" s="22">
        <v>-501</v>
      </c>
      <c r="L20" s="22">
        <v>-1459</v>
      </c>
      <c r="M20" s="22">
        <v>-383</v>
      </c>
      <c r="N20" s="3">
        <v>-442</v>
      </c>
    </row>
    <row r="21" spans="1:14" s="1" customFormat="1" ht="12.75">
      <c r="A21" s="47" t="s">
        <v>129</v>
      </c>
      <c r="B21" s="44" t="s">
        <v>93</v>
      </c>
      <c r="C21" s="22">
        <v>-411</v>
      </c>
      <c r="D21" s="22">
        <f>-344-25</f>
        <v>-369</v>
      </c>
      <c r="E21" s="22">
        <f>-202-4</f>
        <v>-206</v>
      </c>
      <c r="F21" s="22">
        <f>-211-13</f>
        <v>-224</v>
      </c>
      <c r="G21" s="22">
        <f>SUM(C21:F21)</f>
        <v>-1210</v>
      </c>
      <c r="H21" s="22">
        <f>-218-9</f>
        <v>-227</v>
      </c>
      <c r="I21" s="22">
        <v>-214</v>
      </c>
      <c r="J21" s="22">
        <f>-233-6</f>
        <v>-239</v>
      </c>
      <c r="K21" s="22">
        <v>-296</v>
      </c>
      <c r="L21" s="22">
        <v>-976</v>
      </c>
      <c r="M21" s="22">
        <v>-271</v>
      </c>
      <c r="N21" s="3">
        <v>-321</v>
      </c>
    </row>
    <row r="22" spans="1:14" s="1" customFormat="1" ht="12.75">
      <c r="A22" s="47" t="s">
        <v>19</v>
      </c>
      <c r="B22" s="44" t="s">
        <v>19</v>
      </c>
      <c r="C22" s="22">
        <v>-377</v>
      </c>
      <c r="D22" s="22">
        <v>-307</v>
      </c>
      <c r="E22" s="22">
        <v>-81</v>
      </c>
      <c r="F22" s="22">
        <v>-147</v>
      </c>
      <c r="G22" s="22">
        <v>-912</v>
      </c>
      <c r="H22" s="22">
        <v>-109</v>
      </c>
      <c r="I22" s="22">
        <v>-98</v>
      </c>
      <c r="J22" s="22">
        <v>-126</v>
      </c>
      <c r="K22" s="22">
        <v>-248</v>
      </c>
      <c r="L22" s="22">
        <v>-581</v>
      </c>
      <c r="M22" s="22">
        <v>-322</v>
      </c>
      <c r="N22" s="3">
        <v>-413</v>
      </c>
    </row>
    <row r="23" spans="1:14" s="1" customFormat="1" ht="12">
      <c r="A23" s="49" t="s">
        <v>20</v>
      </c>
      <c r="B23" s="6" t="s">
        <v>20</v>
      </c>
      <c r="C23" s="29">
        <f>-548</f>
        <v>-548</v>
      </c>
      <c r="D23" s="29">
        <f>42</f>
        <v>42</v>
      </c>
      <c r="E23" s="29">
        <f>201</f>
        <v>201</v>
      </c>
      <c r="F23" s="29">
        <f>-161</f>
        <v>-161</v>
      </c>
      <c r="G23" s="29">
        <f>SUM(C23:F23)</f>
        <v>-466</v>
      </c>
      <c r="H23" s="29">
        <f>-134</f>
        <v>-134</v>
      </c>
      <c r="I23" s="29">
        <v>51</v>
      </c>
      <c r="J23" s="29">
        <f>25</f>
        <v>25</v>
      </c>
      <c r="K23" s="29">
        <v>-134</v>
      </c>
      <c r="L23" s="29">
        <v>-192</v>
      </c>
      <c r="M23" s="29">
        <v>-463</v>
      </c>
      <c r="N23" s="4">
        <v>-466</v>
      </c>
    </row>
    <row r="24" spans="1:14" s="30" customFormat="1" ht="12">
      <c r="A24" s="1"/>
      <c r="B24" s="5" t="s">
        <v>21</v>
      </c>
      <c r="C24" s="13">
        <f t="shared" ref="C24:L24" si="4">SUM(C14:C23)</f>
        <v>-9068</v>
      </c>
      <c r="D24" s="13">
        <f t="shared" si="4"/>
        <v>-7179</v>
      </c>
      <c r="E24" s="13">
        <f t="shared" si="4"/>
        <v>-2792</v>
      </c>
      <c r="F24" s="13">
        <f t="shared" si="4"/>
        <v>-4210</v>
      </c>
      <c r="G24" s="13">
        <f t="shared" si="4"/>
        <v>-23249</v>
      </c>
      <c r="H24" s="13">
        <f t="shared" si="4"/>
        <v>-3209</v>
      </c>
      <c r="I24" s="13">
        <f t="shared" si="4"/>
        <v>-2780</v>
      </c>
      <c r="J24" s="13">
        <f t="shared" si="4"/>
        <v>-3550</v>
      </c>
      <c r="K24" s="13">
        <f t="shared" ref="K24" si="5">SUM(K14:K23)</f>
        <v>-4989</v>
      </c>
      <c r="L24" s="13">
        <f t="shared" si="4"/>
        <v>-14528</v>
      </c>
      <c r="M24" s="13">
        <f t="shared" ref="M24:N24" si="6">SUM(M14:M23)</f>
        <v>-5717</v>
      </c>
      <c r="N24" s="13">
        <f t="shared" si="6"/>
        <v>-6710</v>
      </c>
    </row>
    <row r="25" spans="1:14" s="1" customFormat="1" ht="12">
      <c r="B25" s="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" customFormat="1" ht="12">
      <c r="A26" s="30"/>
      <c r="B26" s="5" t="s">
        <v>22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30" customFormat="1" ht="12">
      <c r="A27" s="1"/>
      <c r="B27" s="5" t="s">
        <v>23</v>
      </c>
      <c r="C27" s="13">
        <f>C24+C12</f>
        <v>639</v>
      </c>
      <c r="D27" s="13">
        <f t="shared" ref="D27:L27" si="7">D24+D12</f>
        <v>-1915</v>
      </c>
      <c r="E27" s="13">
        <f t="shared" si="7"/>
        <v>-285</v>
      </c>
      <c r="F27" s="13">
        <f t="shared" si="7"/>
        <v>-1175</v>
      </c>
      <c r="G27" s="13">
        <f t="shared" si="7"/>
        <v>-2736</v>
      </c>
      <c r="H27" s="13">
        <f t="shared" si="7"/>
        <v>-927</v>
      </c>
      <c r="I27" s="13">
        <f t="shared" si="7"/>
        <v>-848</v>
      </c>
      <c r="J27" s="13">
        <f t="shared" si="7"/>
        <v>432</v>
      </c>
      <c r="K27" s="13">
        <f t="shared" ref="K27" si="8">K24+K12</f>
        <v>773</v>
      </c>
      <c r="L27" s="13">
        <f t="shared" si="7"/>
        <v>-570</v>
      </c>
      <c r="M27" s="13">
        <f t="shared" ref="M27:N27" si="9">M24+M12</f>
        <v>-172</v>
      </c>
      <c r="N27" s="13">
        <f t="shared" si="9"/>
        <v>338</v>
      </c>
    </row>
    <row r="28" spans="1:14" s="1" customFormat="1" ht="12"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" customFormat="1" ht="12">
      <c r="A29" s="51" t="s">
        <v>130</v>
      </c>
      <c r="B29" s="6" t="s">
        <v>24</v>
      </c>
      <c r="C29" s="4">
        <v>-62</v>
      </c>
      <c r="D29" s="4">
        <v>-18</v>
      </c>
      <c r="E29" s="4">
        <v>0</v>
      </c>
      <c r="F29" s="4">
        <v>15</v>
      </c>
      <c r="G29" s="4">
        <v>-65</v>
      </c>
      <c r="H29" s="4">
        <v>28</v>
      </c>
      <c r="I29" s="4">
        <v>-1</v>
      </c>
      <c r="J29" s="4">
        <v>2</v>
      </c>
      <c r="K29" s="4">
        <v>-3</v>
      </c>
      <c r="L29" s="4">
        <v>26</v>
      </c>
      <c r="M29" s="4">
        <v>-2</v>
      </c>
      <c r="N29" s="4">
        <v>2</v>
      </c>
    </row>
    <row r="30" spans="1:14" s="30" customFormat="1" ht="12">
      <c r="A30" s="1"/>
      <c r="B30" s="5" t="s">
        <v>25</v>
      </c>
      <c r="C30" s="13">
        <f t="shared" ref="C30:L30" si="10">C29+C27</f>
        <v>577</v>
      </c>
      <c r="D30" s="13">
        <f t="shared" si="10"/>
        <v>-1933</v>
      </c>
      <c r="E30" s="13">
        <f t="shared" si="10"/>
        <v>-285</v>
      </c>
      <c r="F30" s="13">
        <f t="shared" si="10"/>
        <v>-1160</v>
      </c>
      <c r="G30" s="13">
        <f t="shared" si="10"/>
        <v>-2801</v>
      </c>
      <c r="H30" s="13">
        <f t="shared" si="10"/>
        <v>-899</v>
      </c>
      <c r="I30" s="13">
        <f t="shared" si="10"/>
        <v>-849</v>
      </c>
      <c r="J30" s="13">
        <f t="shared" si="10"/>
        <v>434</v>
      </c>
      <c r="K30" s="13">
        <f t="shared" ref="K30" si="11">K29+K27</f>
        <v>770</v>
      </c>
      <c r="L30" s="13">
        <f t="shared" si="10"/>
        <v>-544</v>
      </c>
      <c r="M30" s="13">
        <f t="shared" ref="M30:N30" si="12">M29+M27</f>
        <v>-174</v>
      </c>
      <c r="N30" s="13">
        <f t="shared" si="12"/>
        <v>340</v>
      </c>
    </row>
    <row r="31" spans="1:14" s="1" customFormat="1" ht="12"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" customFormat="1" ht="12.75">
      <c r="A32" s="52" t="s">
        <v>136</v>
      </c>
      <c r="B32" s="7" t="s">
        <v>107</v>
      </c>
      <c r="C32" s="17">
        <v>-36</v>
      </c>
      <c r="D32" s="17">
        <v>-37</v>
      </c>
      <c r="E32" s="17">
        <v>-36</v>
      </c>
      <c r="F32" s="17">
        <v>-38</v>
      </c>
      <c r="G32" s="17">
        <f>SUM(C32:F32)</f>
        <v>-147</v>
      </c>
      <c r="H32" s="17">
        <f>-37+30</f>
        <v>-7</v>
      </c>
      <c r="I32" s="17">
        <f>-37+30</f>
        <v>-7</v>
      </c>
      <c r="J32" s="17">
        <f>-36+30</f>
        <v>-6</v>
      </c>
      <c r="K32" s="17">
        <f>-37+30</f>
        <v>-7</v>
      </c>
      <c r="L32" s="17">
        <f>-147+30+30+30+30</f>
        <v>-27</v>
      </c>
      <c r="M32" s="17">
        <v>-10</v>
      </c>
      <c r="N32" s="17">
        <v>-9.9282000000000146</v>
      </c>
    </row>
    <row r="33" spans="1:14" s="1" customFormat="1" ht="12.75">
      <c r="A33" s="52" t="s">
        <v>137</v>
      </c>
      <c r="B33" s="44" t="s">
        <v>91</v>
      </c>
      <c r="C33" s="3">
        <f>-464+29</f>
        <v>-435</v>
      </c>
      <c r="D33" s="3">
        <f>-458+29</f>
        <v>-429</v>
      </c>
      <c r="E33" s="3">
        <f>-1484+29</f>
        <v>-1455</v>
      </c>
      <c r="F33" s="3">
        <f>-452+32</f>
        <v>-420</v>
      </c>
      <c r="G33" s="29">
        <f>SUM(C33:F33)</f>
        <v>-2739</v>
      </c>
      <c r="H33" s="3">
        <f>-410</f>
        <v>-410</v>
      </c>
      <c r="I33" s="3">
        <f>-368</f>
        <v>-368</v>
      </c>
      <c r="J33" s="3">
        <f>-376</f>
        <v>-376</v>
      </c>
      <c r="K33" s="3">
        <f>-382</f>
        <v>-382</v>
      </c>
      <c r="L33" s="3">
        <f>-1536</f>
        <v>-1536</v>
      </c>
      <c r="M33" s="3">
        <f>-373+1</f>
        <v>-372</v>
      </c>
      <c r="N33" s="17">
        <v>-346.36503027392041</v>
      </c>
    </row>
    <row r="34" spans="1:14" s="1" customFormat="1" ht="12.75">
      <c r="A34" s="52" t="s">
        <v>138</v>
      </c>
      <c r="B34" s="44" t="s">
        <v>90</v>
      </c>
      <c r="C34" s="3">
        <v>-869</v>
      </c>
      <c r="D34" s="3">
        <v>-913</v>
      </c>
      <c r="E34" s="3">
        <v>-928</v>
      </c>
      <c r="F34" s="3">
        <v>-1107</v>
      </c>
      <c r="G34" s="3">
        <f>SUM(C34:F34)</f>
        <v>-3817</v>
      </c>
      <c r="H34" s="3">
        <v>-848</v>
      </c>
      <c r="I34" s="3">
        <v>-797</v>
      </c>
      <c r="J34" s="3">
        <v>-786</v>
      </c>
      <c r="K34" s="3">
        <v>-823</v>
      </c>
      <c r="L34" s="3">
        <v>-3254</v>
      </c>
      <c r="M34" s="3">
        <v>-801</v>
      </c>
      <c r="N34" s="17">
        <v>-806</v>
      </c>
    </row>
    <row r="35" spans="1:14" s="1" customFormat="1" ht="12.75">
      <c r="A35" s="48" t="s">
        <v>131</v>
      </c>
      <c r="B35" s="7" t="s">
        <v>110</v>
      </c>
      <c r="C35" s="3">
        <v>2</v>
      </c>
      <c r="D35" s="3">
        <v>1</v>
      </c>
      <c r="E35" s="3">
        <v>1</v>
      </c>
      <c r="F35" s="3">
        <v>3</v>
      </c>
      <c r="G35" s="3">
        <v>7</v>
      </c>
      <c r="H35" s="3">
        <v>2</v>
      </c>
      <c r="I35" s="3">
        <v>3</v>
      </c>
      <c r="J35" s="3">
        <v>3</v>
      </c>
      <c r="K35" s="3">
        <v>2</v>
      </c>
      <c r="L35" s="3">
        <v>10</v>
      </c>
      <c r="M35" s="3">
        <v>4</v>
      </c>
      <c r="N35" s="3">
        <v>3</v>
      </c>
    </row>
    <row r="36" spans="1:14" s="1" customFormat="1" ht="12.75">
      <c r="A36" s="48" t="s">
        <v>26</v>
      </c>
      <c r="B36" s="6" t="s">
        <v>26</v>
      </c>
      <c r="C36" s="4">
        <v>0</v>
      </c>
      <c r="D36" s="4">
        <v>0</v>
      </c>
      <c r="E36" s="4">
        <v>-1</v>
      </c>
      <c r="F36" s="4">
        <v>3</v>
      </c>
      <c r="G36" s="4">
        <v>2</v>
      </c>
      <c r="H36" s="4">
        <v>12</v>
      </c>
      <c r="I36" s="4">
        <v>0</v>
      </c>
      <c r="J36" s="4">
        <v>-121</v>
      </c>
      <c r="K36" s="4">
        <v>-34</v>
      </c>
      <c r="L36" s="4">
        <v>-143</v>
      </c>
      <c r="M36" s="4">
        <v>24</v>
      </c>
      <c r="N36" s="4">
        <v>56</v>
      </c>
    </row>
    <row r="37" spans="1:14" s="30" customFormat="1" ht="12">
      <c r="A37" s="1"/>
      <c r="B37" s="31" t="s">
        <v>27</v>
      </c>
      <c r="C37" s="13">
        <f t="shared" ref="C37:L37" si="13">SUM(C30:C36)</f>
        <v>-761</v>
      </c>
      <c r="D37" s="13">
        <f t="shared" si="13"/>
        <v>-3311</v>
      </c>
      <c r="E37" s="13">
        <f t="shared" si="13"/>
        <v>-2704</v>
      </c>
      <c r="F37" s="13">
        <f t="shared" si="13"/>
        <v>-2719</v>
      </c>
      <c r="G37" s="13">
        <f t="shared" si="13"/>
        <v>-9495</v>
      </c>
      <c r="H37" s="13">
        <f t="shared" si="13"/>
        <v>-2150</v>
      </c>
      <c r="I37" s="13">
        <f t="shared" si="13"/>
        <v>-2018</v>
      </c>
      <c r="J37" s="13">
        <f t="shared" si="13"/>
        <v>-852</v>
      </c>
      <c r="K37" s="13">
        <f t="shared" ref="K37" si="14">SUM(K30:K36)</f>
        <v>-474</v>
      </c>
      <c r="L37" s="13">
        <f t="shared" si="13"/>
        <v>-5494</v>
      </c>
      <c r="M37" s="13">
        <f t="shared" ref="M37" si="15">SUM(M30:M36)</f>
        <v>-1329</v>
      </c>
      <c r="N37" s="13">
        <f>SUM(N30:N36)</f>
        <v>-763.29323027392047</v>
      </c>
    </row>
    <row r="38" spans="1:14" s="1" customFormat="1" ht="12">
      <c r="B38" s="4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" customFormat="1" ht="12">
      <c r="B39" s="7" t="s">
        <v>28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s="1" customFormat="1" ht="12">
      <c r="A40" s="49" t="s">
        <v>139</v>
      </c>
      <c r="B40" s="7" t="s">
        <v>29</v>
      </c>
      <c r="C40" s="3">
        <v>32</v>
      </c>
      <c r="D40" s="3">
        <v>24</v>
      </c>
      <c r="E40" s="3">
        <v>20</v>
      </c>
      <c r="F40" s="3">
        <v>16</v>
      </c>
      <c r="G40" s="3">
        <v>76</v>
      </c>
      <c r="H40" s="3">
        <v>6</v>
      </c>
      <c r="I40" s="3">
        <v>7</v>
      </c>
      <c r="J40" s="3">
        <v>3</v>
      </c>
      <c r="K40" s="3">
        <v>4</v>
      </c>
      <c r="L40" s="3">
        <v>20</v>
      </c>
      <c r="M40" s="3">
        <v>14</v>
      </c>
      <c r="N40" s="17">
        <v>17</v>
      </c>
    </row>
    <row r="41" spans="1:14" s="1" customFormat="1" ht="12">
      <c r="A41" s="49" t="s">
        <v>30</v>
      </c>
      <c r="B41" s="7" t="s">
        <v>30</v>
      </c>
      <c r="C41" s="3">
        <v>-153</v>
      </c>
      <c r="D41" s="3">
        <v>-169</v>
      </c>
      <c r="E41" s="3">
        <v>-188</v>
      </c>
      <c r="F41" s="3">
        <v>-223</v>
      </c>
      <c r="G41" s="3">
        <v>-717</v>
      </c>
      <c r="H41" s="3">
        <v>-132</v>
      </c>
      <c r="I41" s="3">
        <v>-151</v>
      </c>
      <c r="J41" s="3">
        <v>-180</v>
      </c>
      <c r="K41" s="3">
        <f>-145-1</f>
        <v>-146</v>
      </c>
      <c r="L41" s="3">
        <v>-609</v>
      </c>
      <c r="M41" s="3">
        <v>-183</v>
      </c>
      <c r="N41" s="3">
        <v>-205</v>
      </c>
    </row>
    <row r="42" spans="1:14" s="1" customFormat="1" ht="12">
      <c r="A42" s="50" t="s">
        <v>92</v>
      </c>
      <c r="B42" s="7" t="s">
        <v>92</v>
      </c>
      <c r="C42" s="17">
        <v>-199</v>
      </c>
      <c r="D42" s="17">
        <v>-262</v>
      </c>
      <c r="E42" s="17">
        <v>826</v>
      </c>
      <c r="F42" s="17">
        <v>-326</v>
      </c>
      <c r="G42" s="17">
        <v>39</v>
      </c>
      <c r="H42" s="17">
        <v>361</v>
      </c>
      <c r="I42" s="17">
        <v>-169</v>
      </c>
      <c r="J42" s="17">
        <v>-305</v>
      </c>
      <c r="K42" s="17">
        <f>-330+1</f>
        <v>-329</v>
      </c>
      <c r="L42" s="17">
        <v>-442</v>
      </c>
      <c r="M42" s="17">
        <v>-1099</v>
      </c>
      <c r="N42" s="17">
        <v>-606</v>
      </c>
    </row>
    <row r="43" spans="1:14" s="30" customFormat="1" ht="12">
      <c r="A43" s="1"/>
      <c r="B43" s="25" t="s">
        <v>31</v>
      </c>
      <c r="C43" s="23">
        <f t="shared" ref="C43:L43" si="16">SUM(C37:C42)</f>
        <v>-1081</v>
      </c>
      <c r="D43" s="23">
        <f t="shared" si="16"/>
        <v>-3718</v>
      </c>
      <c r="E43" s="23">
        <f t="shared" si="16"/>
        <v>-2046</v>
      </c>
      <c r="F43" s="23">
        <f t="shared" si="16"/>
        <v>-3252</v>
      </c>
      <c r="G43" s="23">
        <f t="shared" si="16"/>
        <v>-10097</v>
      </c>
      <c r="H43" s="23">
        <f t="shared" si="16"/>
        <v>-1915</v>
      </c>
      <c r="I43" s="23">
        <f t="shared" si="16"/>
        <v>-2331</v>
      </c>
      <c r="J43" s="23">
        <f t="shared" si="16"/>
        <v>-1334</v>
      </c>
      <c r="K43" s="23">
        <f t="shared" ref="K43" si="17">SUM(K37:K42)</f>
        <v>-945</v>
      </c>
      <c r="L43" s="23">
        <f t="shared" si="16"/>
        <v>-6525</v>
      </c>
      <c r="M43" s="23">
        <f>SUM(M37:M42)</f>
        <v>-2597</v>
      </c>
      <c r="N43" s="23">
        <f>SUM(N37:N42)</f>
        <v>-1557.2932302739205</v>
      </c>
    </row>
    <row r="44" spans="1:14" s="1" customFormat="1" ht="1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1" customFormat="1" ht="12">
      <c r="A45" s="30"/>
      <c r="B45" s="35" t="s">
        <v>32</v>
      </c>
      <c r="C45" s="4">
        <f>226-1</f>
        <v>225</v>
      </c>
      <c r="D45" s="4">
        <v>252</v>
      </c>
      <c r="E45" s="4">
        <f>-294-4</f>
        <v>-298</v>
      </c>
      <c r="F45" s="4">
        <f>692-6</f>
        <v>686</v>
      </c>
      <c r="G45" s="29">
        <f>SUM(C45:F45)</f>
        <v>865</v>
      </c>
      <c r="H45" s="4">
        <f>-114-4</f>
        <v>-118</v>
      </c>
      <c r="I45" s="4">
        <f>-72-7</f>
        <v>-79</v>
      </c>
      <c r="J45" s="4">
        <f>3-5</f>
        <v>-2</v>
      </c>
      <c r="K45" s="4">
        <v>201</v>
      </c>
      <c r="L45" s="4">
        <v>2</v>
      </c>
      <c r="M45" s="4">
        <v>155</v>
      </c>
      <c r="N45" s="4">
        <v>37</v>
      </c>
    </row>
    <row r="46" spans="1:14" s="30" customFormat="1" ht="12">
      <c r="A46" s="1"/>
      <c r="B46" s="30" t="s">
        <v>33</v>
      </c>
      <c r="C46" s="13">
        <f t="shared" ref="C46:L46" si="18">SUM(C43:C45)</f>
        <v>-856</v>
      </c>
      <c r="D46" s="13">
        <f t="shared" si="18"/>
        <v>-3466</v>
      </c>
      <c r="E46" s="13">
        <f t="shared" si="18"/>
        <v>-2344</v>
      </c>
      <c r="F46" s="13">
        <f t="shared" si="18"/>
        <v>-2566</v>
      </c>
      <c r="G46" s="13">
        <f t="shared" si="18"/>
        <v>-9232</v>
      </c>
      <c r="H46" s="13">
        <f t="shared" si="18"/>
        <v>-2033</v>
      </c>
      <c r="I46" s="13">
        <f t="shared" si="18"/>
        <v>-2410</v>
      </c>
      <c r="J46" s="13">
        <f t="shared" si="18"/>
        <v>-1336</v>
      </c>
      <c r="K46" s="13">
        <f t="shared" ref="K46" si="19">SUM(K43:K45)</f>
        <v>-744</v>
      </c>
      <c r="L46" s="13">
        <f t="shared" si="18"/>
        <v>-6523</v>
      </c>
      <c r="M46" s="13">
        <f>SUM(M43:M45)</f>
        <v>-2442</v>
      </c>
      <c r="N46" s="13">
        <f>SUM(N43:N45)</f>
        <v>-1520.2932302739205</v>
      </c>
    </row>
    <row r="47" spans="1:14" s="1" customFormat="1" ht="1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1" customFormat="1" ht="1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s="1" customFormat="1" ht="12">
      <c r="B49" s="7" t="s">
        <v>34</v>
      </c>
    </row>
    <row r="50" spans="2:14" s="1" customFormat="1" ht="12">
      <c r="B50" s="7" t="s">
        <v>35</v>
      </c>
      <c r="C50" s="3">
        <f>C46</f>
        <v>-856</v>
      </c>
      <c r="D50" s="3">
        <f t="shared" ref="D50:L50" si="20">D46</f>
        <v>-3466</v>
      </c>
      <c r="E50" s="3">
        <f t="shared" si="20"/>
        <v>-2344</v>
      </c>
      <c r="F50" s="3">
        <f t="shared" si="20"/>
        <v>-2566</v>
      </c>
      <c r="G50" s="3">
        <f t="shared" si="20"/>
        <v>-9232</v>
      </c>
      <c r="H50" s="3">
        <f t="shared" si="20"/>
        <v>-2033</v>
      </c>
      <c r="I50" s="3">
        <f t="shared" si="20"/>
        <v>-2410</v>
      </c>
      <c r="J50" s="3">
        <f t="shared" si="20"/>
        <v>-1336</v>
      </c>
      <c r="K50" s="3">
        <f t="shared" ref="K50" si="21">K46</f>
        <v>-744</v>
      </c>
      <c r="L50" s="3">
        <f t="shared" si="20"/>
        <v>-6523</v>
      </c>
      <c r="M50" s="3">
        <f t="shared" ref="M50:N50" si="22">M46</f>
        <v>-2442</v>
      </c>
      <c r="N50" s="3">
        <f t="shared" si="22"/>
        <v>-1520.2932302739205</v>
      </c>
    </row>
    <row r="51" spans="2:14" s="1" customFormat="1" ht="12">
      <c r="B51" s="7" t="s">
        <v>36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2:14" s="1" customFormat="1" ht="12"/>
    <row r="53" spans="2:14" s="1" customFormat="1" ht="1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s="1" customFormat="1" ht="12" hidden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s="1" customFormat="1" ht="12" hidden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1" customFormat="1" ht="12" hidden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s="1" customFormat="1" ht="12" hidden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s="1" customFormat="1" ht="12" hidden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s="1" customFormat="1" ht="12" hidden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s="1" customFormat="1" ht="12" hidden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s="1" customFormat="1" ht="12" hidden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s="1" customFormat="1" ht="12" hidden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s="1" customFormat="1" ht="12" hidden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s="1" customFormat="1" ht="12" hidden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s="1" customFormat="1" ht="12" hidden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s="1" customFormat="1" ht="12" hidden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s="1" customFormat="1" ht="12" hidden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s="1" customFormat="1" ht="12" hidden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s="1" customFormat="1" ht="12" hidden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s="1" customFormat="1" ht="12" hidden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s="1" customFormat="1" ht="12" hidden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s="1" customFormat="1" ht="12" hidden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s="1" customFormat="1" ht="12" hidden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s="1" customFormat="1" ht="12" hidden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s="1" customFormat="1" ht="12" hidden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s="1" customFormat="1" ht="1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s="1" customFormat="1" ht="1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s="1" customFormat="1" ht="12">
      <c r="B78" s="35"/>
      <c r="C78" s="2" t="s">
        <v>88</v>
      </c>
      <c r="D78" s="2">
        <v>2020</v>
      </c>
      <c r="E78" s="2">
        <v>2020</v>
      </c>
      <c r="F78" s="2">
        <v>2020</v>
      </c>
      <c r="G78" s="2">
        <v>2020</v>
      </c>
      <c r="H78" s="2" t="s">
        <v>88</v>
      </c>
      <c r="I78" s="2">
        <v>2021</v>
      </c>
      <c r="J78" s="2">
        <v>2021</v>
      </c>
      <c r="K78" s="2">
        <v>2021</v>
      </c>
      <c r="L78" s="2" t="s">
        <v>108</v>
      </c>
      <c r="M78" s="2" t="str">
        <f>M4</f>
        <v>2021-2022</v>
      </c>
      <c r="N78" s="2">
        <f>N4</f>
        <v>2022</v>
      </c>
    </row>
    <row r="79" spans="2:14" s="1" customFormat="1" ht="12">
      <c r="B79" s="30" t="s">
        <v>37</v>
      </c>
      <c r="C79" s="15" t="s">
        <v>4</v>
      </c>
      <c r="D79" s="15" t="s">
        <v>5</v>
      </c>
      <c r="E79" s="15" t="s">
        <v>2</v>
      </c>
      <c r="F79" s="15" t="str">
        <f>F5</f>
        <v>AUG-</v>
      </c>
      <c r="G79" s="15" t="str">
        <f>G5</f>
        <v>NOV-</v>
      </c>
      <c r="H79" s="15" t="s">
        <v>4</v>
      </c>
      <c r="I79" s="15" t="s">
        <v>5</v>
      </c>
      <c r="J79" s="15" t="s">
        <v>2</v>
      </c>
      <c r="K79" s="15" t="str">
        <f>K5</f>
        <v>AUG-</v>
      </c>
      <c r="L79" s="15" t="s">
        <v>4</v>
      </c>
      <c r="M79" s="15" t="s">
        <v>4</v>
      </c>
      <c r="N79" s="15" t="s">
        <v>4</v>
      </c>
    </row>
    <row r="80" spans="2:14" s="1" customFormat="1" ht="12">
      <c r="B80" s="6" t="s">
        <v>6</v>
      </c>
      <c r="C80" s="16" t="s">
        <v>9</v>
      </c>
      <c r="D80" s="16" t="s">
        <v>10</v>
      </c>
      <c r="E80" s="16" t="s">
        <v>7</v>
      </c>
      <c r="F80" s="16" t="str">
        <f>F6</f>
        <v>OCT</v>
      </c>
      <c r="G80" s="16" t="str">
        <f>G6</f>
        <v>OCT</v>
      </c>
      <c r="H80" s="16" t="s">
        <v>9</v>
      </c>
      <c r="I80" s="16" t="s">
        <v>10</v>
      </c>
      <c r="J80" s="16" t="s">
        <v>7</v>
      </c>
      <c r="K80" s="16" t="str">
        <f>K6</f>
        <v>OCT</v>
      </c>
      <c r="L80" s="16" t="s">
        <v>8</v>
      </c>
      <c r="M80" s="16" t="s">
        <v>9</v>
      </c>
      <c r="N80" s="16" t="s">
        <v>9</v>
      </c>
    </row>
    <row r="81" spans="1:14" s="1" customFormat="1" ht="12">
      <c r="A81" s="51" t="s">
        <v>38</v>
      </c>
      <c r="B81" s="44" t="s">
        <v>38</v>
      </c>
      <c r="C81" s="3">
        <v>-34</v>
      </c>
      <c r="D81" s="3">
        <v>-161</v>
      </c>
      <c r="E81" s="3">
        <v>-62</v>
      </c>
      <c r="F81" s="3">
        <v>-60</v>
      </c>
      <c r="G81" s="3">
        <v>-317</v>
      </c>
      <c r="H81" s="3">
        <v>-67</v>
      </c>
      <c r="I81" s="3">
        <v>-81</v>
      </c>
      <c r="J81" s="3">
        <v>-77</v>
      </c>
      <c r="K81" s="3">
        <v>-84</v>
      </c>
      <c r="L81" s="3">
        <f>SUM(H81:K81)</f>
        <v>-309</v>
      </c>
      <c r="M81" s="3">
        <v>-107</v>
      </c>
      <c r="N81" s="3">
        <v>-96</v>
      </c>
    </row>
    <row r="82" spans="1:14" s="1" customFormat="1" ht="12">
      <c r="A82" s="51" t="s">
        <v>39</v>
      </c>
      <c r="B82" s="44" t="s">
        <v>39</v>
      </c>
      <c r="C82" s="3">
        <v>-11</v>
      </c>
      <c r="D82" s="3">
        <v>-69</v>
      </c>
      <c r="E82" s="3">
        <v>-11</v>
      </c>
      <c r="F82" s="3">
        <v>-25</v>
      </c>
      <c r="G82" s="3">
        <v>-116</v>
      </c>
      <c r="H82" s="3">
        <v>-68</v>
      </c>
      <c r="I82" s="3">
        <v>-46</v>
      </c>
      <c r="J82" s="3">
        <v>-33</v>
      </c>
      <c r="K82" s="3">
        <v>-28</v>
      </c>
      <c r="L82" s="3">
        <f t="shared" ref="L82:L88" si="23">SUM(H82:K82)</f>
        <v>-175</v>
      </c>
      <c r="M82" s="3">
        <v>-31</v>
      </c>
      <c r="N82" s="3">
        <v>-35</v>
      </c>
    </row>
    <row r="83" spans="1:14" s="1" customFormat="1" ht="12">
      <c r="A83" s="51" t="s">
        <v>40</v>
      </c>
      <c r="B83" s="44" t="s">
        <v>40</v>
      </c>
      <c r="C83" s="3">
        <v>-9</v>
      </c>
      <c r="D83" s="3">
        <v>-31</v>
      </c>
      <c r="E83" s="3">
        <v>-11</v>
      </c>
      <c r="F83" s="3">
        <v>-6</v>
      </c>
      <c r="G83" s="3">
        <v>-57</v>
      </c>
      <c r="H83" s="3">
        <v>-8</v>
      </c>
      <c r="I83" s="3">
        <v>-6</v>
      </c>
      <c r="J83" s="3">
        <v>-9</v>
      </c>
      <c r="K83" s="3">
        <v>-8</v>
      </c>
      <c r="L83" s="3">
        <f t="shared" si="23"/>
        <v>-31</v>
      </c>
      <c r="M83" s="3">
        <v>-10</v>
      </c>
      <c r="N83" s="3">
        <v>-19</v>
      </c>
    </row>
    <row r="84" spans="1:14" s="1" customFormat="1" ht="12">
      <c r="A84" s="51" t="s">
        <v>41</v>
      </c>
      <c r="B84" s="44" t="s">
        <v>41</v>
      </c>
      <c r="C84" s="3">
        <v>-18</v>
      </c>
      <c r="D84" s="3">
        <v>-81</v>
      </c>
      <c r="E84" s="3">
        <v>-31</v>
      </c>
      <c r="F84" s="3">
        <v>-33</v>
      </c>
      <c r="G84" s="3">
        <v>-163</v>
      </c>
      <c r="H84" s="3">
        <v>-34</v>
      </c>
      <c r="I84" s="3">
        <v>-31</v>
      </c>
      <c r="J84" s="3">
        <v>-31</v>
      </c>
      <c r="K84" s="3">
        <v>-39</v>
      </c>
      <c r="L84" s="3">
        <f t="shared" si="23"/>
        <v>-135</v>
      </c>
      <c r="M84" s="3">
        <v>-46</v>
      </c>
      <c r="N84" s="3">
        <v>-39</v>
      </c>
    </row>
    <row r="85" spans="1:14" s="1" customFormat="1" ht="12">
      <c r="A85" s="51" t="s">
        <v>42</v>
      </c>
      <c r="B85" s="44" t="s">
        <v>42</v>
      </c>
      <c r="C85" s="3">
        <v>-36</v>
      </c>
      <c r="D85" s="3">
        <v>-136</v>
      </c>
      <c r="E85" s="3">
        <v>-11</v>
      </c>
      <c r="F85" s="3">
        <v>-27</v>
      </c>
      <c r="G85" s="3">
        <v>-210</v>
      </c>
      <c r="H85" s="3">
        <v>-22</v>
      </c>
      <c r="I85" s="3">
        <v>-11</v>
      </c>
      <c r="J85" s="3">
        <v>-24</v>
      </c>
      <c r="K85" s="3">
        <v>-51</v>
      </c>
      <c r="L85" s="3">
        <f t="shared" si="23"/>
        <v>-108</v>
      </c>
      <c r="M85" s="3">
        <v>-61</v>
      </c>
      <c r="N85" s="3">
        <v>-67</v>
      </c>
    </row>
    <row r="86" spans="1:14" s="1" customFormat="1" ht="12">
      <c r="A86" s="51" t="s">
        <v>43</v>
      </c>
      <c r="B86" s="44" t="s">
        <v>43</v>
      </c>
      <c r="C86" s="3">
        <v>-56</v>
      </c>
      <c r="D86" s="3">
        <v>-218</v>
      </c>
      <c r="E86" s="3">
        <v>-64</v>
      </c>
      <c r="F86" s="3">
        <v>-78</v>
      </c>
      <c r="G86" s="3">
        <v>-416</v>
      </c>
      <c r="H86" s="3">
        <v>-62</v>
      </c>
      <c r="I86" s="3">
        <v>-34</v>
      </c>
      <c r="J86" s="3">
        <v>-61</v>
      </c>
      <c r="K86" s="3">
        <v>-102</v>
      </c>
      <c r="L86" s="3">
        <f t="shared" si="23"/>
        <v>-259</v>
      </c>
      <c r="M86" s="3">
        <v>-132</v>
      </c>
      <c r="N86" s="3">
        <v>-187</v>
      </c>
    </row>
    <row r="87" spans="1:14" s="1" customFormat="1" ht="12">
      <c r="A87" s="51" t="s">
        <v>44</v>
      </c>
      <c r="B87" s="44" t="s">
        <v>44</v>
      </c>
      <c r="C87" s="3">
        <v>-17</v>
      </c>
      <c r="D87" s="3">
        <v>-53</v>
      </c>
      <c r="E87" s="3">
        <v>-10</v>
      </c>
      <c r="F87" s="3">
        <v>-6</v>
      </c>
      <c r="G87" s="3">
        <v>-86</v>
      </c>
      <c r="H87" s="3">
        <v>-2</v>
      </c>
      <c r="I87" s="3">
        <v>-1</v>
      </c>
      <c r="J87" s="3">
        <v>-20</v>
      </c>
      <c r="K87" s="3">
        <v>-2</v>
      </c>
      <c r="L87" s="3">
        <f t="shared" si="23"/>
        <v>-25</v>
      </c>
      <c r="M87" s="3">
        <v>-15</v>
      </c>
      <c r="N87" s="3">
        <v>-22</v>
      </c>
    </row>
    <row r="88" spans="1:14" s="1" customFormat="1" ht="12">
      <c r="A88" s="53" t="s">
        <v>45</v>
      </c>
      <c r="B88" s="6" t="s">
        <v>45</v>
      </c>
      <c r="C88" s="4">
        <f>-367</f>
        <v>-367</v>
      </c>
      <c r="D88" s="4">
        <f>791</f>
        <v>791</v>
      </c>
      <c r="E88" s="4">
        <f>401</f>
        <v>401</v>
      </c>
      <c r="F88" s="4">
        <f>74</f>
        <v>74</v>
      </c>
      <c r="G88" s="4">
        <f>899</f>
        <v>899</v>
      </c>
      <c r="H88" s="4">
        <f>129</f>
        <v>129</v>
      </c>
      <c r="I88" s="4">
        <v>261</v>
      </c>
      <c r="J88" s="4">
        <f>280</f>
        <v>280</v>
      </c>
      <c r="K88" s="4">
        <v>180</v>
      </c>
      <c r="L88" s="4">
        <f t="shared" si="23"/>
        <v>850</v>
      </c>
      <c r="M88" s="4">
        <v>-61</v>
      </c>
      <c r="N88" s="4">
        <v>1</v>
      </c>
    </row>
    <row r="89" spans="1:14" s="30" customFormat="1" ht="12">
      <c r="A89" s="1"/>
      <c r="B89" s="31" t="s">
        <v>46</v>
      </c>
      <c r="C89" s="13">
        <f t="shared" ref="C89:L89" si="24">SUM(C81:C88)</f>
        <v>-548</v>
      </c>
      <c r="D89" s="13">
        <f t="shared" si="24"/>
        <v>42</v>
      </c>
      <c r="E89" s="13">
        <f t="shared" si="24"/>
        <v>201</v>
      </c>
      <c r="F89" s="13">
        <f t="shared" si="24"/>
        <v>-161</v>
      </c>
      <c r="G89" s="13">
        <f t="shared" si="24"/>
        <v>-466</v>
      </c>
      <c r="H89" s="13">
        <f t="shared" si="24"/>
        <v>-134</v>
      </c>
      <c r="I89" s="13">
        <f t="shared" si="24"/>
        <v>51</v>
      </c>
      <c r="J89" s="13">
        <f t="shared" si="24"/>
        <v>25</v>
      </c>
      <c r="K89" s="13">
        <f t="shared" ref="K89" si="25">SUM(K81:K88)</f>
        <v>-134</v>
      </c>
      <c r="L89" s="13">
        <f t="shared" si="24"/>
        <v>-192</v>
      </c>
      <c r="M89" s="13">
        <f t="shared" ref="M89:N89" si="26">SUM(M81:M88)</f>
        <v>-463</v>
      </c>
      <c r="N89" s="13">
        <f t="shared" si="26"/>
        <v>-464</v>
      </c>
    </row>
    <row r="90" spans="1:14" s="1" customFormat="1" ht="12">
      <c r="B90" s="4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s="1" customFormat="1" ht="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1" customFormat="1" ht="1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1" customFormat="1" ht="12">
      <c r="B93" s="35"/>
      <c r="C93" s="2" t="s">
        <v>88</v>
      </c>
      <c r="D93" s="2">
        <v>2020</v>
      </c>
      <c r="E93" s="2">
        <v>2020</v>
      </c>
      <c r="F93" s="2">
        <v>2020</v>
      </c>
      <c r="G93" s="2">
        <v>2020</v>
      </c>
      <c r="H93" s="2" t="str">
        <f>H4</f>
        <v>2020-2021</v>
      </c>
      <c r="I93" s="2">
        <v>2021</v>
      </c>
      <c r="J93" s="2">
        <v>2021</v>
      </c>
      <c r="K93" s="2">
        <v>2021</v>
      </c>
      <c r="L93" s="2" t="s">
        <v>108</v>
      </c>
      <c r="M93" s="2" t="str">
        <f t="shared" ref="M93:N95" si="27">M4</f>
        <v>2021-2022</v>
      </c>
      <c r="N93" s="2">
        <f t="shared" si="27"/>
        <v>2022</v>
      </c>
    </row>
    <row r="94" spans="1:14" s="1" customFormat="1" ht="12">
      <c r="B94" s="30" t="s">
        <v>47</v>
      </c>
      <c r="C94" s="15" t="s">
        <v>4</v>
      </c>
      <c r="D94" s="15" t="s">
        <v>5</v>
      </c>
      <c r="E94" s="15" t="s">
        <v>2</v>
      </c>
      <c r="F94" s="15" t="str">
        <f>F79</f>
        <v>AUG-</v>
      </c>
      <c r="G94" s="15" t="str">
        <f>G79</f>
        <v>NOV-</v>
      </c>
      <c r="H94" s="15" t="str">
        <f>H5</f>
        <v>NOV-</v>
      </c>
      <c r="I94" s="15" t="s">
        <v>5</v>
      </c>
      <c r="J94" s="15" t="s">
        <v>2</v>
      </c>
      <c r="K94" s="15" t="str">
        <f>K79</f>
        <v>AUG-</v>
      </c>
      <c r="L94" s="15" t="s">
        <v>4</v>
      </c>
      <c r="M94" s="15" t="str">
        <f t="shared" si="27"/>
        <v>NOV-</v>
      </c>
      <c r="N94" s="15" t="str">
        <f t="shared" si="27"/>
        <v>FEB-</v>
      </c>
    </row>
    <row r="95" spans="1:14" s="1" customFormat="1" ht="12">
      <c r="B95" s="6" t="s">
        <v>6</v>
      </c>
      <c r="C95" s="16" t="s">
        <v>9</v>
      </c>
      <c r="D95" s="16" t="s">
        <v>10</v>
      </c>
      <c r="E95" s="16" t="s">
        <v>7</v>
      </c>
      <c r="F95" s="16" t="str">
        <f>F80</f>
        <v>OCT</v>
      </c>
      <c r="G95" s="16" t="str">
        <f>G80</f>
        <v>OCT</v>
      </c>
      <c r="H95" s="2" t="str">
        <f>H6</f>
        <v>JAN</v>
      </c>
      <c r="I95" s="16" t="s">
        <v>10</v>
      </c>
      <c r="J95" s="16" t="s">
        <v>7</v>
      </c>
      <c r="K95" s="16" t="str">
        <f>K80</f>
        <v>OCT</v>
      </c>
      <c r="L95" s="16" t="s">
        <v>8</v>
      </c>
      <c r="M95" s="2" t="str">
        <f t="shared" si="27"/>
        <v>JAN</v>
      </c>
      <c r="N95" s="2" t="str">
        <f t="shared" si="27"/>
        <v>APR</v>
      </c>
    </row>
    <row r="96" spans="1:14" s="1" customFormat="1" ht="12">
      <c r="B96" s="1" t="s">
        <v>31</v>
      </c>
      <c r="C96" s="3">
        <f>C43</f>
        <v>-1081</v>
      </c>
      <c r="D96" s="3">
        <f t="shared" ref="D96:M96" si="28">D43</f>
        <v>-3718</v>
      </c>
      <c r="E96" s="3">
        <f t="shared" si="28"/>
        <v>-2046</v>
      </c>
      <c r="F96" s="3">
        <f t="shared" si="28"/>
        <v>-3252</v>
      </c>
      <c r="G96" s="3">
        <f t="shared" si="28"/>
        <v>-10097</v>
      </c>
      <c r="H96" s="3">
        <f t="shared" si="28"/>
        <v>-1915</v>
      </c>
      <c r="I96" s="3">
        <f t="shared" si="28"/>
        <v>-2331</v>
      </c>
      <c r="J96" s="3">
        <f t="shared" si="28"/>
        <v>-1334</v>
      </c>
      <c r="K96" s="3">
        <f t="shared" si="28"/>
        <v>-945</v>
      </c>
      <c r="L96" s="3">
        <f t="shared" si="28"/>
        <v>-6525</v>
      </c>
      <c r="M96" s="3">
        <f t="shared" si="28"/>
        <v>-2597</v>
      </c>
      <c r="N96" s="3">
        <f t="shared" ref="N96" si="29">N43</f>
        <v>-1557.2932302739205</v>
      </c>
    </row>
    <row r="97" spans="1:14" s="1" customFormat="1" ht="12">
      <c r="A97" s="54" t="s">
        <v>48</v>
      </c>
      <c r="B97" s="1" t="s">
        <v>48</v>
      </c>
      <c r="C97" s="3">
        <v>0</v>
      </c>
      <c r="D97" s="3">
        <v>0</v>
      </c>
      <c r="E97" s="3">
        <v>1040</v>
      </c>
      <c r="F97" s="3">
        <v>170</v>
      </c>
      <c r="G97" s="3">
        <v>1210</v>
      </c>
      <c r="H97" s="3">
        <v>0</v>
      </c>
      <c r="I97" s="3">
        <v>0</v>
      </c>
      <c r="J97" s="3">
        <v>0</v>
      </c>
      <c r="K97" s="3"/>
      <c r="L97" s="3">
        <f t="shared" ref="L97" si="30">SUM(H97:K97)</f>
        <v>0</v>
      </c>
      <c r="M97" s="3"/>
      <c r="N97" s="3">
        <v>0</v>
      </c>
    </row>
    <row r="98" spans="1:14" s="1" customFormat="1" ht="12">
      <c r="A98" s="54" t="s">
        <v>49</v>
      </c>
      <c r="B98" s="1" t="s">
        <v>49</v>
      </c>
      <c r="C98" s="3">
        <v>9</v>
      </c>
      <c r="D98" s="3">
        <v>8</v>
      </c>
      <c r="E98" s="3">
        <v>246</v>
      </c>
      <c r="F98" s="3">
        <v>61</v>
      </c>
      <c r="G98" s="3">
        <v>324</v>
      </c>
      <c r="H98" s="3">
        <v>0</v>
      </c>
      <c r="I98" s="3">
        <v>0</v>
      </c>
      <c r="J98" s="3">
        <v>0</v>
      </c>
      <c r="K98" s="3"/>
      <c r="L98" s="3">
        <f t="shared" ref="L98" si="31">SUM(H98:K98)</f>
        <v>0</v>
      </c>
      <c r="M98" s="3"/>
      <c r="N98" s="3">
        <v>0</v>
      </c>
    </row>
    <row r="99" spans="1:14" s="1" customFormat="1" ht="12">
      <c r="A99" s="54" t="s">
        <v>50</v>
      </c>
      <c r="B99" s="1" t="s">
        <v>50</v>
      </c>
      <c r="C99" s="3">
        <v>0</v>
      </c>
      <c r="D99" s="3">
        <v>0</v>
      </c>
      <c r="E99" s="3">
        <v>1</v>
      </c>
      <c r="F99" s="3">
        <v>-3</v>
      </c>
      <c r="G99" s="3">
        <v>-2</v>
      </c>
      <c r="H99" s="3">
        <v>-12</v>
      </c>
      <c r="I99" s="3">
        <v>0</v>
      </c>
      <c r="J99" s="3">
        <v>121</v>
      </c>
      <c r="K99" s="3">
        <v>34</v>
      </c>
      <c r="L99" s="3">
        <f t="shared" ref="L99:L100" si="32">SUM(H99:K99)</f>
        <v>143</v>
      </c>
      <c r="M99" s="3">
        <v>-24</v>
      </c>
      <c r="N99" s="3">
        <v>-56</v>
      </c>
    </row>
    <row r="100" spans="1:14" s="1" customFormat="1" ht="12">
      <c r="A100" s="55" t="s">
        <v>51</v>
      </c>
      <c r="B100" s="35" t="s">
        <v>51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/>
      <c r="L100" s="4">
        <f t="shared" si="32"/>
        <v>0</v>
      </c>
      <c r="M100" s="4"/>
      <c r="N100" s="4">
        <v>0</v>
      </c>
    </row>
    <row r="101" spans="1:14" s="30" customFormat="1" ht="12">
      <c r="A101" s="1"/>
      <c r="B101" s="30" t="s">
        <v>47</v>
      </c>
      <c r="C101" s="13">
        <f>SUM(C96:C100)</f>
        <v>-1072</v>
      </c>
      <c r="D101" s="13">
        <f t="shared" ref="D101:L101" si="33">SUM(D96:D100)</f>
        <v>-3710</v>
      </c>
      <c r="E101" s="13">
        <f t="shared" si="33"/>
        <v>-759</v>
      </c>
      <c r="F101" s="13">
        <f t="shared" si="33"/>
        <v>-3024</v>
      </c>
      <c r="G101" s="13">
        <f t="shared" si="33"/>
        <v>-8565</v>
      </c>
      <c r="H101" s="13">
        <f t="shared" si="33"/>
        <v>-1927</v>
      </c>
      <c r="I101" s="13">
        <f t="shared" si="33"/>
        <v>-2331</v>
      </c>
      <c r="J101" s="13">
        <f t="shared" si="33"/>
        <v>-1213</v>
      </c>
      <c r="K101" s="13">
        <f t="shared" ref="K101" si="34">SUM(K96:K100)</f>
        <v>-911</v>
      </c>
      <c r="L101" s="13">
        <f t="shared" si="33"/>
        <v>-6382</v>
      </c>
      <c r="M101" s="13">
        <f t="shared" ref="M101:N101" si="35">SUM(M96:M100)</f>
        <v>-2621</v>
      </c>
      <c r="N101" s="13">
        <f t="shared" si="35"/>
        <v>-1613.2932302739205</v>
      </c>
    </row>
    <row r="102" spans="1:14" s="1" customFormat="1" ht="12"/>
    <row r="103" spans="1:14" s="1" customFormat="1" ht="12"/>
    <row r="104" spans="1:14" s="1" customFormat="1">
      <c r="A104" s="14"/>
    </row>
    <row r="105" spans="1:14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3:14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3:14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3:14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3:14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3:14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3:14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3:14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3:14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3:14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3:14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36"/>
  <sheetViews>
    <sheetView zoomScale="110" zoomScaleNormal="110" workbookViewId="0">
      <selection activeCell="C8" sqref="C8"/>
    </sheetView>
  </sheetViews>
  <sheetFormatPr defaultColWidth="9.140625" defaultRowHeight="12"/>
  <cols>
    <col min="1" max="1" width="2.5703125" style="19" customWidth="1"/>
    <col min="2" max="2" width="35.5703125" style="19" customWidth="1"/>
    <col min="3" max="12" width="11.140625" style="19" customWidth="1"/>
    <col min="13" max="16384" width="9.140625" style="19"/>
  </cols>
  <sheetData>
    <row r="1" spans="2:12" ht="26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>
      <c r="B4" s="38" t="s">
        <v>104</v>
      </c>
      <c r="C4" s="8" t="s">
        <v>54</v>
      </c>
      <c r="D4" s="8" t="s">
        <v>55</v>
      </c>
      <c r="E4" s="8" t="s">
        <v>52</v>
      </c>
      <c r="F4" s="8" t="s">
        <v>53</v>
      </c>
      <c r="G4" s="8" t="s">
        <v>112</v>
      </c>
      <c r="H4" s="8" t="s">
        <v>55</v>
      </c>
      <c r="I4" s="8" t="s">
        <v>52</v>
      </c>
      <c r="J4" s="8" t="s">
        <v>53</v>
      </c>
      <c r="K4" s="8" t="s">
        <v>54</v>
      </c>
      <c r="L4" s="8" t="s">
        <v>55</v>
      </c>
    </row>
    <row r="5" spans="2:12">
      <c r="B5" s="39" t="s">
        <v>6</v>
      </c>
      <c r="C5" s="2">
        <v>2022</v>
      </c>
      <c r="D5" s="2">
        <v>2022</v>
      </c>
      <c r="E5" s="2">
        <v>2021</v>
      </c>
      <c r="F5" s="2">
        <v>2021</v>
      </c>
      <c r="G5" s="2">
        <v>2021</v>
      </c>
      <c r="H5" s="2">
        <v>2021</v>
      </c>
      <c r="I5" s="2">
        <v>2020</v>
      </c>
      <c r="J5" s="2">
        <v>2020</v>
      </c>
      <c r="K5" s="2">
        <v>2020</v>
      </c>
      <c r="L5" s="2">
        <v>2020</v>
      </c>
    </row>
    <row r="6" spans="2:12">
      <c r="B6" s="40" t="s">
        <v>56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>
      <c r="B7" s="41" t="s">
        <v>57</v>
      </c>
      <c r="C7" s="9">
        <v>709</v>
      </c>
      <c r="D7" s="9">
        <v>717</v>
      </c>
      <c r="E7" s="9">
        <f>1200-491</f>
        <v>709</v>
      </c>
      <c r="F7" s="9">
        <f>1207-519</f>
        <v>688</v>
      </c>
      <c r="G7" s="9">
        <f>1266-543</f>
        <v>723</v>
      </c>
      <c r="H7" s="9">
        <f>1269-573</f>
        <v>696</v>
      </c>
      <c r="I7" s="9">
        <f>1273-594</f>
        <v>679</v>
      </c>
      <c r="J7" s="9">
        <f>1310-611</f>
        <v>699</v>
      </c>
      <c r="K7" s="9">
        <f>1340-637</f>
        <v>703</v>
      </c>
      <c r="L7" s="9">
        <f>1405-642</f>
        <v>763</v>
      </c>
    </row>
    <row r="8" spans="2:12">
      <c r="B8" s="41" t="s">
        <v>58</v>
      </c>
      <c r="C8" s="9">
        <v>19291</v>
      </c>
      <c r="D8" s="9">
        <v>17157</v>
      </c>
      <c r="E8" s="9">
        <v>17969</v>
      </c>
      <c r="F8" s="9">
        <v>18464</v>
      </c>
      <c r="G8" s="9">
        <v>19336</v>
      </c>
      <c r="H8" s="9">
        <v>18215</v>
      </c>
      <c r="I8" s="9">
        <v>18861</v>
      </c>
      <c r="J8" s="9">
        <v>18715</v>
      </c>
      <c r="K8" s="9">
        <v>20644</v>
      </c>
      <c r="L8" s="9">
        <v>17663</v>
      </c>
    </row>
    <row r="9" spans="2:12">
      <c r="B9" s="41" t="s">
        <v>111</v>
      </c>
      <c r="C9" s="9">
        <v>16947</v>
      </c>
      <c r="D9" s="9">
        <v>16460</v>
      </c>
      <c r="E9" s="9">
        <v>16959</v>
      </c>
      <c r="F9" s="9">
        <v>17153</v>
      </c>
      <c r="G9" s="9">
        <v>16533</v>
      </c>
      <c r="H9" s="9">
        <v>17002</v>
      </c>
      <c r="I9" s="9">
        <v>17264</v>
      </c>
      <c r="J9" s="9">
        <v>17877</v>
      </c>
      <c r="K9" s="9">
        <v>17634</v>
      </c>
      <c r="L9" s="9">
        <v>17382</v>
      </c>
    </row>
    <row r="10" spans="2:12">
      <c r="B10" s="41" t="s">
        <v>59</v>
      </c>
      <c r="C10" s="9">
        <v>8314</v>
      </c>
      <c r="D10" s="9">
        <v>8375</v>
      </c>
      <c r="E10" s="9">
        <v>8165</v>
      </c>
      <c r="F10" s="9">
        <v>7365</v>
      </c>
      <c r="G10" s="9">
        <v>7333</v>
      </c>
      <c r="H10" s="9">
        <v>6308</v>
      </c>
      <c r="I10" s="9">
        <v>6063</v>
      </c>
      <c r="J10" s="9">
        <v>5726</v>
      </c>
      <c r="K10" s="9">
        <v>5729</v>
      </c>
      <c r="L10" s="9">
        <v>5023</v>
      </c>
    </row>
    <row r="11" spans="2:12">
      <c r="B11" s="39" t="s">
        <v>103</v>
      </c>
      <c r="C11" s="10">
        <v>1367</v>
      </c>
      <c r="D11" s="10">
        <v>1297</v>
      </c>
      <c r="E11" s="10">
        <f>1021+105</f>
        <v>1126</v>
      </c>
      <c r="F11" s="10">
        <f>983+111</f>
        <v>1094</v>
      </c>
      <c r="G11" s="10">
        <f>976+116</f>
        <v>1092</v>
      </c>
      <c r="H11" s="10">
        <f>1306+123</f>
        <v>1429</v>
      </c>
      <c r="I11" s="10">
        <f>1640+127</f>
        <v>1767</v>
      </c>
      <c r="J11" s="10">
        <f>758+131</f>
        <v>889</v>
      </c>
      <c r="K11" s="10">
        <f>1308+136</f>
        <v>1444</v>
      </c>
      <c r="L11" s="10">
        <f>927+137</f>
        <v>1064</v>
      </c>
    </row>
    <row r="12" spans="2:12">
      <c r="B12" s="42" t="s">
        <v>60</v>
      </c>
      <c r="C12" s="12">
        <f t="shared" ref="C12:D12" si="0">SUM(C7:C11)</f>
        <v>46628</v>
      </c>
      <c r="D12" s="12">
        <f t="shared" si="0"/>
        <v>44006</v>
      </c>
      <c r="E12" s="12">
        <f t="shared" ref="E12:L12" si="1">SUM(E7:E11)</f>
        <v>44928</v>
      </c>
      <c r="F12" s="12">
        <f t="shared" si="1"/>
        <v>44764</v>
      </c>
      <c r="G12" s="12">
        <f t="shared" si="1"/>
        <v>45017</v>
      </c>
      <c r="H12" s="12">
        <f t="shared" si="1"/>
        <v>43650</v>
      </c>
      <c r="I12" s="12">
        <f t="shared" si="1"/>
        <v>44634</v>
      </c>
      <c r="J12" s="12">
        <f t="shared" si="1"/>
        <v>43906</v>
      </c>
      <c r="K12" s="12">
        <f t="shared" si="1"/>
        <v>46154</v>
      </c>
      <c r="L12" s="12">
        <f t="shared" si="1"/>
        <v>41895</v>
      </c>
    </row>
    <row r="13" spans="2:12">
      <c r="B13" s="4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>
      <c r="B14" s="41" t="s">
        <v>96</v>
      </c>
      <c r="C14" s="9">
        <v>419</v>
      </c>
      <c r="D14" s="9">
        <v>436</v>
      </c>
      <c r="E14" s="9">
        <v>412</v>
      </c>
      <c r="F14" s="9">
        <v>491</v>
      </c>
      <c r="G14" s="9">
        <v>596</v>
      </c>
      <c r="H14" s="9">
        <v>581</v>
      </c>
      <c r="I14" s="9">
        <v>510</v>
      </c>
      <c r="J14" s="9">
        <v>520</v>
      </c>
      <c r="K14" s="9">
        <v>510</v>
      </c>
      <c r="L14" s="9">
        <v>457</v>
      </c>
    </row>
    <row r="15" spans="2:12">
      <c r="B15" s="41" t="s">
        <v>61</v>
      </c>
      <c r="C15" s="9">
        <v>3922</v>
      </c>
      <c r="D15" s="9">
        <v>2772</v>
      </c>
      <c r="E15" s="9">
        <v>3104</v>
      </c>
      <c r="F15" s="9">
        <v>2432</v>
      </c>
      <c r="G15" s="9">
        <v>1850</v>
      </c>
      <c r="H15" s="9">
        <v>1398</v>
      </c>
      <c r="I15" s="9">
        <v>1591</v>
      </c>
      <c r="J15" s="9">
        <v>1283</v>
      </c>
      <c r="K15" s="9">
        <v>2041</v>
      </c>
      <c r="L15" s="9">
        <v>2818</v>
      </c>
    </row>
    <row r="16" spans="2:12">
      <c r="B16" s="39" t="s">
        <v>62</v>
      </c>
      <c r="C16" s="10">
        <v>8478</v>
      </c>
      <c r="D16" s="10">
        <v>3438</v>
      </c>
      <c r="E16" s="10">
        <v>4268</v>
      </c>
      <c r="F16" s="10">
        <v>4424</v>
      </c>
      <c r="G16" s="10">
        <v>4420</v>
      </c>
      <c r="H16" s="10">
        <v>4732</v>
      </c>
      <c r="I16" s="10">
        <v>10231</v>
      </c>
      <c r="J16" s="10">
        <v>6244</v>
      </c>
      <c r="K16" s="10">
        <v>4221</v>
      </c>
      <c r="L16" s="10">
        <v>6599</v>
      </c>
    </row>
    <row r="17" spans="2:13">
      <c r="B17" s="42" t="s">
        <v>63</v>
      </c>
      <c r="C17" s="12">
        <f t="shared" ref="C17" si="2">SUM(C14:C16)</f>
        <v>12819</v>
      </c>
      <c r="D17" s="12">
        <f t="shared" ref="D17:E17" si="3">SUM(D14:D16)</f>
        <v>6646</v>
      </c>
      <c r="E17" s="12">
        <f t="shared" si="3"/>
        <v>7784</v>
      </c>
      <c r="F17" s="12">
        <f t="shared" ref="F17:L17" si="4">SUM(F14:F16)</f>
        <v>7347</v>
      </c>
      <c r="G17" s="12">
        <f t="shared" si="4"/>
        <v>6866</v>
      </c>
      <c r="H17" s="12">
        <f t="shared" si="4"/>
        <v>6711</v>
      </c>
      <c r="I17" s="12">
        <f t="shared" si="4"/>
        <v>12332</v>
      </c>
      <c r="J17" s="12">
        <f t="shared" si="4"/>
        <v>8047</v>
      </c>
      <c r="K17" s="12">
        <f t="shared" si="4"/>
        <v>6772</v>
      </c>
      <c r="L17" s="12">
        <f t="shared" si="4"/>
        <v>9874</v>
      </c>
    </row>
    <row r="18" spans="2:13">
      <c r="B18" s="13" t="s">
        <v>64</v>
      </c>
      <c r="C18" s="13">
        <f t="shared" ref="C18" si="5">C12+C17</f>
        <v>59447</v>
      </c>
      <c r="D18" s="13">
        <f t="shared" ref="D18:E18" si="6">D12+D17</f>
        <v>50652</v>
      </c>
      <c r="E18" s="13">
        <f t="shared" si="6"/>
        <v>52712</v>
      </c>
      <c r="F18" s="13">
        <f t="shared" ref="F18:L18" si="7">F12+F17</f>
        <v>52111</v>
      </c>
      <c r="G18" s="13">
        <f t="shared" si="7"/>
        <v>51883</v>
      </c>
      <c r="H18" s="13">
        <f t="shared" si="7"/>
        <v>50361</v>
      </c>
      <c r="I18" s="13">
        <f t="shared" si="7"/>
        <v>56966</v>
      </c>
      <c r="J18" s="13">
        <f t="shared" si="7"/>
        <v>51953</v>
      </c>
      <c r="K18" s="13">
        <f t="shared" si="7"/>
        <v>52926</v>
      </c>
      <c r="L18" s="13">
        <f t="shared" si="7"/>
        <v>51769</v>
      </c>
    </row>
    <row r="19" spans="2:1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3">
      <c r="B20" s="3" t="s">
        <v>65</v>
      </c>
      <c r="C20" s="3">
        <v>2172</v>
      </c>
      <c r="D20" s="3">
        <v>3803</v>
      </c>
      <c r="E20" s="3">
        <f>6802-386</f>
        <v>6416</v>
      </c>
      <c r="F20" s="3">
        <f>7017-408</f>
        <v>6609</v>
      </c>
      <c r="G20" s="3">
        <f>8360-427</f>
        <v>7933</v>
      </c>
      <c r="H20" s="3">
        <f>9510-450</f>
        <v>9060</v>
      </c>
      <c r="I20" s="3">
        <f>10490-467</f>
        <v>10023</v>
      </c>
      <c r="J20" s="3">
        <f>-1371-480</f>
        <v>-1851</v>
      </c>
      <c r="K20" s="3">
        <f>-65-501</f>
        <v>-566</v>
      </c>
      <c r="L20" s="3">
        <f>4433-505</f>
        <v>3928</v>
      </c>
    </row>
    <row r="21" spans="2:1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3">
      <c r="B22" s="3" t="s">
        <v>97</v>
      </c>
      <c r="C22" s="3">
        <v>17157</v>
      </c>
      <c r="D22" s="3">
        <v>13507</v>
      </c>
      <c r="E22" s="3">
        <v>12989</v>
      </c>
      <c r="F22" s="3">
        <v>12617</v>
      </c>
      <c r="G22" s="3">
        <v>13309</v>
      </c>
      <c r="H22" s="3">
        <v>11829</v>
      </c>
      <c r="I22" s="3">
        <v>11219</v>
      </c>
      <c r="J22" s="3">
        <v>14542</v>
      </c>
      <c r="K22" s="3">
        <v>14910</v>
      </c>
      <c r="L22" s="3">
        <v>10543</v>
      </c>
    </row>
    <row r="23" spans="2:13">
      <c r="B23" s="3" t="s">
        <v>98</v>
      </c>
      <c r="C23" s="3">
        <v>15063</v>
      </c>
      <c r="D23" s="3">
        <v>13973</v>
      </c>
      <c r="E23" s="3">
        <v>13231</v>
      </c>
      <c r="F23" s="3">
        <v>13387</v>
      </c>
      <c r="G23" s="3">
        <v>12590</v>
      </c>
      <c r="H23" s="3">
        <v>12832</v>
      </c>
      <c r="I23" s="3">
        <v>13499</v>
      </c>
      <c r="J23" s="3">
        <v>13379</v>
      </c>
      <c r="K23" s="3">
        <v>14491</v>
      </c>
      <c r="L23" s="3">
        <v>14049</v>
      </c>
    </row>
    <row r="24" spans="2:13">
      <c r="B24" s="3" t="s">
        <v>99</v>
      </c>
      <c r="C24" s="3">
        <v>4024</v>
      </c>
      <c r="D24" s="3">
        <v>3751</v>
      </c>
      <c r="E24" s="3">
        <v>3812</v>
      </c>
      <c r="F24" s="3">
        <v>3403</v>
      </c>
      <c r="G24" s="3">
        <v>3425</v>
      </c>
      <c r="H24" s="3">
        <v>3322</v>
      </c>
      <c r="I24" s="3">
        <v>3603</v>
      </c>
      <c r="J24" s="3">
        <v>3369</v>
      </c>
      <c r="K24" s="3">
        <v>3614</v>
      </c>
      <c r="L24" s="3">
        <v>4292</v>
      </c>
    </row>
    <row r="25" spans="2:13">
      <c r="B25" s="23" t="s">
        <v>100</v>
      </c>
      <c r="C25" s="23">
        <f>SUM(C22:C24)</f>
        <v>36244</v>
      </c>
      <c r="D25" s="23">
        <f>SUM(D22:D24)</f>
        <v>31231</v>
      </c>
      <c r="E25" s="23">
        <f>SUM(E22:E24)</f>
        <v>30032</v>
      </c>
      <c r="F25" s="23">
        <f t="shared" ref="F25:L25" si="8">SUM(F22:F24)</f>
        <v>29407</v>
      </c>
      <c r="G25" s="23">
        <f t="shared" si="8"/>
        <v>29324</v>
      </c>
      <c r="H25" s="23">
        <f t="shared" si="8"/>
        <v>27983</v>
      </c>
      <c r="I25" s="23">
        <f>SUM(I22:I24)</f>
        <v>28321</v>
      </c>
      <c r="J25" s="23">
        <f t="shared" si="8"/>
        <v>31290</v>
      </c>
      <c r="K25" s="23">
        <f t="shared" si="8"/>
        <v>33015</v>
      </c>
      <c r="L25" s="23">
        <f t="shared" si="8"/>
        <v>28884</v>
      </c>
      <c r="M25" s="13"/>
    </row>
    <row r="26" spans="2:13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3">
      <c r="B27" s="3" t="s">
        <v>97</v>
      </c>
      <c r="C27" s="3">
        <v>5233</v>
      </c>
      <c r="D27" s="3">
        <v>4838</v>
      </c>
      <c r="E27" s="3">
        <v>3871</v>
      </c>
      <c r="F27" s="3">
        <v>4442</v>
      </c>
      <c r="G27" s="3">
        <v>3879</v>
      </c>
      <c r="H27" s="3">
        <v>2451</v>
      </c>
      <c r="I27" s="3">
        <v>3773</v>
      </c>
      <c r="J27" s="3">
        <v>6651</v>
      </c>
      <c r="K27" s="3">
        <v>4114</v>
      </c>
      <c r="L27" s="3">
        <v>1967</v>
      </c>
    </row>
    <row r="28" spans="2:13">
      <c r="B28" s="3" t="s">
        <v>98</v>
      </c>
      <c r="C28" s="3">
        <v>3094</v>
      </c>
      <c r="D28" s="3">
        <v>3077</v>
      </c>
      <c r="E28" s="3">
        <v>2833</v>
      </c>
      <c r="F28" s="3">
        <v>2676</v>
      </c>
      <c r="G28" s="3">
        <v>2544</v>
      </c>
      <c r="H28" s="3">
        <v>2670</v>
      </c>
      <c r="I28" s="3">
        <v>3105</v>
      </c>
      <c r="J28" s="3">
        <v>3201</v>
      </c>
      <c r="K28" s="3">
        <v>3490</v>
      </c>
      <c r="L28" s="3">
        <v>3200</v>
      </c>
    </row>
    <row r="29" spans="2:13">
      <c r="B29" s="3" t="s">
        <v>99</v>
      </c>
      <c r="C29" s="3">
        <v>12704</v>
      </c>
      <c r="D29" s="3">
        <v>9703</v>
      </c>
      <c r="E29" s="3">
        <v>9560</v>
      </c>
      <c r="F29" s="3">
        <v>8977</v>
      </c>
      <c r="G29" s="3">
        <v>8203</v>
      </c>
      <c r="H29" s="3">
        <v>8197</v>
      </c>
      <c r="I29" s="3">
        <v>11744</v>
      </c>
      <c r="J29" s="3">
        <v>12662</v>
      </c>
      <c r="K29" s="3">
        <v>12873</v>
      </c>
      <c r="L29" s="3">
        <v>13790</v>
      </c>
    </row>
    <row r="30" spans="2:13">
      <c r="B30" s="23" t="s">
        <v>101</v>
      </c>
      <c r="C30" s="23">
        <f t="shared" ref="C30:D30" si="9">SUM(C27:C29)</f>
        <v>21031</v>
      </c>
      <c r="D30" s="23">
        <f t="shared" si="9"/>
        <v>17618</v>
      </c>
      <c r="E30" s="23">
        <f t="shared" ref="E30:L30" si="10">SUM(E27:E29)</f>
        <v>16264</v>
      </c>
      <c r="F30" s="23">
        <f t="shared" si="10"/>
        <v>16095</v>
      </c>
      <c r="G30" s="23">
        <f t="shared" si="10"/>
        <v>14626</v>
      </c>
      <c r="H30" s="23">
        <f t="shared" si="10"/>
        <v>13318</v>
      </c>
      <c r="I30" s="23">
        <f t="shared" si="10"/>
        <v>18622</v>
      </c>
      <c r="J30" s="23">
        <f t="shared" si="10"/>
        <v>22514</v>
      </c>
      <c r="K30" s="23">
        <f t="shared" si="10"/>
        <v>20477</v>
      </c>
      <c r="L30" s="23">
        <f t="shared" si="10"/>
        <v>18957</v>
      </c>
    </row>
    <row r="31" spans="2:13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3">
      <c r="B32" s="23" t="s">
        <v>66</v>
      </c>
      <c r="C32" s="23">
        <f t="shared" ref="C32" si="11">C30+C25+C20</f>
        <v>59447</v>
      </c>
      <c r="D32" s="23">
        <f t="shared" ref="D32:E32" si="12">D30+D25+D20</f>
        <v>52652</v>
      </c>
      <c r="E32" s="23">
        <f t="shared" si="12"/>
        <v>52712</v>
      </c>
      <c r="F32" s="23">
        <f t="shared" ref="F32:L32" si="13">F30+F25+F20</f>
        <v>52111</v>
      </c>
      <c r="G32" s="23">
        <f t="shared" si="13"/>
        <v>51883</v>
      </c>
      <c r="H32" s="23">
        <f t="shared" si="13"/>
        <v>50361</v>
      </c>
      <c r="I32" s="23">
        <f t="shared" si="13"/>
        <v>56966</v>
      </c>
      <c r="J32" s="23">
        <f t="shared" si="13"/>
        <v>51953</v>
      </c>
      <c r="K32" s="23">
        <f t="shared" si="13"/>
        <v>52926</v>
      </c>
      <c r="L32" s="23">
        <f t="shared" si="13"/>
        <v>51769</v>
      </c>
    </row>
    <row r="33" spans="2: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>
      <c r="B34" s="3" t="s">
        <v>67</v>
      </c>
      <c r="C34" s="43">
        <v>-0.75</v>
      </c>
      <c r="D34" s="43">
        <v>-0.52</v>
      </c>
      <c r="E34" s="43">
        <v>-0.16</v>
      </c>
      <c r="F34" s="43">
        <v>-0.14000000000000001</v>
      </c>
      <c r="G34" s="43">
        <v>0.04</v>
      </c>
      <c r="H34" s="43">
        <v>0.2</v>
      </c>
      <c r="I34" s="43">
        <v>0.33</v>
      </c>
      <c r="J34" s="43">
        <v>-8.76</v>
      </c>
      <c r="K34" s="43">
        <v>-5.4</v>
      </c>
      <c r="L34" s="43">
        <v>6.35</v>
      </c>
    </row>
    <row r="35" spans="2:12">
      <c r="B35" s="3" t="s">
        <v>68</v>
      </c>
      <c r="C35" s="11">
        <v>17768</v>
      </c>
      <c r="D35" s="11">
        <v>12324</v>
      </c>
      <c r="E35" s="11">
        <v>12746</v>
      </c>
      <c r="F35" s="11">
        <v>11843</v>
      </c>
      <c r="G35" s="11">
        <v>11548</v>
      </c>
      <c r="H35" s="11">
        <v>10518</v>
      </c>
      <c r="I35" s="11">
        <v>15869</v>
      </c>
      <c r="J35" s="11">
        <v>11614</v>
      </c>
      <c r="K35" s="11">
        <v>9794</v>
      </c>
      <c r="L35" s="11">
        <v>11231</v>
      </c>
    </row>
    <row r="36" spans="2:12">
      <c r="B36" s="3" t="s">
        <v>69</v>
      </c>
      <c r="C36" s="11">
        <v>40547</v>
      </c>
      <c r="D36" s="11">
        <f>D22+D23+D27+D28</f>
        <v>35395</v>
      </c>
      <c r="E36" s="11">
        <f>E22+E23+E27+E28</f>
        <v>32924</v>
      </c>
      <c r="F36" s="11">
        <v>33122</v>
      </c>
      <c r="G36" s="11">
        <v>32322</v>
      </c>
      <c r="H36" s="11">
        <v>29782</v>
      </c>
      <c r="I36" s="11">
        <v>31596</v>
      </c>
      <c r="J36" s="11">
        <v>37773</v>
      </c>
      <c r="K36" s="11">
        <v>37005</v>
      </c>
      <c r="L36" s="11">
        <v>29759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9"/>
  <sheetViews>
    <sheetView zoomScaleNormal="100" workbookViewId="0">
      <selection activeCell="C49" sqref="C49"/>
    </sheetView>
  </sheetViews>
  <sheetFormatPr defaultColWidth="9.140625" defaultRowHeight="15"/>
  <cols>
    <col min="1" max="1" width="52.85546875" style="19" customWidth="1"/>
    <col min="2" max="8" width="9.140625" style="19" customWidth="1"/>
    <col min="9" max="12" width="9.140625" style="19"/>
    <col min="13" max="13" width="9.140625" style="19" customWidth="1"/>
    <col min="14" max="16" width="8.7109375" style="27" customWidth="1"/>
    <col min="17" max="17" width="26.85546875" style="19" customWidth="1"/>
    <col min="18" max="18" width="1.28515625" style="19" customWidth="1"/>
    <col min="19" max="16384" width="9.140625" style="19"/>
  </cols>
  <sheetData>
    <row r="1" spans="1:17" ht="26.25">
      <c r="A1" s="32" t="s">
        <v>0</v>
      </c>
    </row>
    <row r="3" spans="1:17">
      <c r="N3" s="28"/>
      <c r="O3" s="28"/>
      <c r="P3" s="28"/>
      <c r="Q3" s="28"/>
    </row>
    <row r="4" spans="1:17">
      <c r="A4" s="3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7">
      <c r="A5" s="34"/>
      <c r="B5" s="35">
        <v>2022</v>
      </c>
      <c r="C5" s="35" t="s">
        <v>127</v>
      </c>
      <c r="D5" s="35">
        <v>2021</v>
      </c>
      <c r="E5" s="21">
        <v>2021</v>
      </c>
      <c r="F5" s="21">
        <v>2021</v>
      </c>
      <c r="G5" s="21">
        <v>2021</v>
      </c>
      <c r="H5" s="21" t="s">
        <v>108</v>
      </c>
      <c r="I5" s="21">
        <v>2020</v>
      </c>
      <c r="J5" s="21">
        <v>2020</v>
      </c>
      <c r="K5" s="21">
        <v>2020</v>
      </c>
      <c r="L5" s="21">
        <v>2020</v>
      </c>
      <c r="M5" s="21" t="s">
        <v>88</v>
      </c>
    </row>
    <row r="6" spans="1:17">
      <c r="A6" s="33" t="s">
        <v>70</v>
      </c>
      <c r="B6" s="15" t="s">
        <v>5</v>
      </c>
      <c r="C6" s="20" t="s">
        <v>4</v>
      </c>
      <c r="D6" s="20" t="s">
        <v>4</v>
      </c>
      <c r="E6" s="15" t="s">
        <v>3</v>
      </c>
      <c r="F6" s="15" t="s">
        <v>2</v>
      </c>
      <c r="G6" s="15" t="s">
        <v>5</v>
      </c>
      <c r="H6" s="15" t="s">
        <v>4</v>
      </c>
      <c r="I6" s="15" t="s">
        <v>4</v>
      </c>
      <c r="J6" s="15" t="s">
        <v>3</v>
      </c>
      <c r="K6" s="15" t="s">
        <v>2</v>
      </c>
      <c r="L6" s="15" t="s">
        <v>5</v>
      </c>
      <c r="M6" s="15" t="s">
        <v>4</v>
      </c>
    </row>
    <row r="7" spans="1:17">
      <c r="A7" s="35" t="s">
        <v>6</v>
      </c>
      <c r="B7" s="2" t="s">
        <v>10</v>
      </c>
      <c r="C7" s="2" t="s">
        <v>9</v>
      </c>
      <c r="D7" s="2" t="s">
        <v>8</v>
      </c>
      <c r="E7" s="2" t="s">
        <v>8</v>
      </c>
      <c r="F7" s="2" t="s">
        <v>7</v>
      </c>
      <c r="G7" s="2" t="s">
        <v>10</v>
      </c>
      <c r="H7" s="2" t="s">
        <v>9</v>
      </c>
      <c r="I7" s="2" t="s">
        <v>8</v>
      </c>
      <c r="J7" s="2" t="s">
        <v>8</v>
      </c>
      <c r="K7" s="2" t="s">
        <v>7</v>
      </c>
      <c r="L7" s="2" t="s">
        <v>10</v>
      </c>
      <c r="M7" s="2" t="s">
        <v>9</v>
      </c>
    </row>
    <row r="8" spans="1:17">
      <c r="A8" s="1" t="s">
        <v>31</v>
      </c>
      <c r="B8" s="3">
        <v>-1557</v>
      </c>
      <c r="C8" s="3">
        <v>-2597</v>
      </c>
      <c r="D8" s="3">
        <v>-6525</v>
      </c>
      <c r="E8" s="3">
        <v>-945</v>
      </c>
      <c r="F8" s="3">
        <f>-1358+24</f>
        <v>-1334</v>
      </c>
      <c r="G8" s="3">
        <f>-2361+30</f>
        <v>-2331</v>
      </c>
      <c r="H8" s="3">
        <f>-1936+21</f>
        <v>-1915</v>
      </c>
      <c r="I8" s="3">
        <f>-10151+54</f>
        <v>-10097</v>
      </c>
      <c r="J8" s="9">
        <f>'Income Statement'!F43</f>
        <v>-3252</v>
      </c>
      <c r="K8" s="9">
        <f>'Income Statement'!E43</f>
        <v>-2046</v>
      </c>
      <c r="L8" s="9">
        <f>'Income Statement'!D43</f>
        <v>-3718</v>
      </c>
      <c r="M8" s="3">
        <f>'Income Statement'!C43</f>
        <v>-1081</v>
      </c>
    </row>
    <row r="9" spans="1:17">
      <c r="A9" s="1" t="s">
        <v>71</v>
      </c>
      <c r="B9" s="3">
        <v>1162</v>
      </c>
      <c r="C9" s="3">
        <v>1183</v>
      </c>
      <c r="D9" s="3">
        <v>4817</v>
      </c>
      <c r="E9" s="3">
        <v>1212</v>
      </c>
      <c r="F9" s="3">
        <f>1198-30</f>
        <v>1168</v>
      </c>
      <c r="G9" s="3">
        <f>1202-30</f>
        <v>1172</v>
      </c>
      <c r="H9" s="3">
        <f>1295-30</f>
        <v>1265</v>
      </c>
      <c r="I9" s="3">
        <f>6822-119</f>
        <v>6703</v>
      </c>
      <c r="J9" s="15">
        <f>1597-32</f>
        <v>1565</v>
      </c>
      <c r="K9" s="15">
        <f>2448-29</f>
        <v>2419</v>
      </c>
      <c r="L9" s="15">
        <f>1408-29</f>
        <v>1379</v>
      </c>
      <c r="M9" s="3">
        <f>499.9+868.9-29</f>
        <v>1339.8</v>
      </c>
    </row>
    <row r="10" spans="1:17">
      <c r="A10" s="1" t="s">
        <v>72</v>
      </c>
      <c r="B10" s="3">
        <v>-56</v>
      </c>
      <c r="C10" s="3">
        <v>-24</v>
      </c>
      <c r="D10" s="3">
        <v>143</v>
      </c>
      <c r="E10" s="3">
        <v>34</v>
      </c>
      <c r="F10" s="3">
        <v>121</v>
      </c>
      <c r="G10" s="3">
        <v>0</v>
      </c>
      <c r="H10" s="3">
        <v>-12</v>
      </c>
      <c r="I10" s="3">
        <v>-2</v>
      </c>
      <c r="J10" s="15">
        <v>-3</v>
      </c>
      <c r="K10" s="15">
        <v>1</v>
      </c>
      <c r="L10" s="15">
        <v>0</v>
      </c>
      <c r="M10" s="3">
        <v>0</v>
      </c>
    </row>
    <row r="11" spans="1:17">
      <c r="A11" s="24" t="s">
        <v>73</v>
      </c>
      <c r="B11" s="3">
        <v>343</v>
      </c>
      <c r="C11" s="3">
        <v>762</v>
      </c>
      <c r="D11" s="3">
        <v>-515</v>
      </c>
      <c r="E11" s="3">
        <v>115</v>
      </c>
      <c r="F11" s="3">
        <v>46</v>
      </c>
      <c r="G11" s="3">
        <v>-74</v>
      </c>
      <c r="H11" s="3">
        <v>-602</v>
      </c>
      <c r="I11" s="3">
        <v>-82</v>
      </c>
      <c r="J11" s="15">
        <v>111</v>
      </c>
      <c r="K11" s="15">
        <v>-1261</v>
      </c>
      <c r="L11" s="15">
        <v>1063</v>
      </c>
      <c r="M11" s="3">
        <v>5.4</v>
      </c>
    </row>
    <row r="12" spans="1:17">
      <c r="A12" s="35" t="s">
        <v>74</v>
      </c>
      <c r="B12" s="4">
        <v>0</v>
      </c>
      <c r="C12" s="4">
        <v>0</v>
      </c>
      <c r="D12" s="4">
        <v>-2</v>
      </c>
      <c r="E12" s="4">
        <v>0</v>
      </c>
      <c r="F12" s="4">
        <v>0</v>
      </c>
      <c r="G12" s="4">
        <v>0</v>
      </c>
      <c r="H12" s="4">
        <v>-2</v>
      </c>
      <c r="I12" s="4">
        <v>-18</v>
      </c>
      <c r="J12" s="2">
        <v>-1</v>
      </c>
      <c r="K12" s="2">
        <v>0</v>
      </c>
      <c r="L12" s="2">
        <v>0</v>
      </c>
      <c r="M12" s="4">
        <v>-16.899999999999999</v>
      </c>
    </row>
    <row r="13" spans="1:17">
      <c r="A13" s="30" t="s">
        <v>75</v>
      </c>
      <c r="B13" s="13">
        <f t="shared" ref="B13" si="0">SUM(B8:B12)</f>
        <v>-108</v>
      </c>
      <c r="C13" s="13">
        <f t="shared" ref="C13:D13" si="1">SUM(C8:C12)</f>
        <v>-676</v>
      </c>
      <c r="D13" s="13">
        <f t="shared" si="1"/>
        <v>-2082</v>
      </c>
      <c r="E13" s="13">
        <f t="shared" ref="E13" si="2">SUM(E8:E12)</f>
        <v>416</v>
      </c>
      <c r="F13" s="13">
        <f t="shared" ref="F13:H13" si="3">SUM(F8:F12)</f>
        <v>1</v>
      </c>
      <c r="G13" s="13">
        <f t="shared" si="3"/>
        <v>-1233</v>
      </c>
      <c r="H13" s="13">
        <f t="shared" si="3"/>
        <v>-1266</v>
      </c>
      <c r="I13" s="13">
        <f t="shared" ref="I13:J13" si="4">SUM(I8:I12)</f>
        <v>-3496</v>
      </c>
      <c r="J13" s="13">
        <f t="shared" si="4"/>
        <v>-1580</v>
      </c>
      <c r="K13" s="13">
        <f>SUM(K8:K12)</f>
        <v>-887</v>
      </c>
      <c r="L13" s="13">
        <f>SUM(L8:L12)</f>
        <v>-1276</v>
      </c>
      <c r="M13" s="13">
        <f>SUM(M8:M12)</f>
        <v>247.29999999999993</v>
      </c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7">
      <c r="A15" s="35" t="s">
        <v>76</v>
      </c>
      <c r="B15" s="4">
        <v>2567</v>
      </c>
      <c r="C15" s="4">
        <v>562</v>
      </c>
      <c r="D15" s="4">
        <v>-2653</v>
      </c>
      <c r="E15" s="4">
        <v>659</v>
      </c>
      <c r="F15" s="4">
        <v>538</v>
      </c>
      <c r="G15" s="4">
        <v>-170</v>
      </c>
      <c r="H15" s="4">
        <v>-3680</v>
      </c>
      <c r="I15" s="4">
        <v>-1680</v>
      </c>
      <c r="J15" s="4">
        <v>-1381</v>
      </c>
      <c r="K15" s="4">
        <v>-78</v>
      </c>
      <c r="L15" s="4">
        <v>-506</v>
      </c>
      <c r="M15" s="4">
        <v>285</v>
      </c>
    </row>
    <row r="16" spans="1:17">
      <c r="A16" s="30" t="s">
        <v>77</v>
      </c>
      <c r="B16" s="13">
        <f t="shared" ref="B16" si="5">B13+B15</f>
        <v>2459</v>
      </c>
      <c r="C16" s="13">
        <f t="shared" ref="C16:D16" si="6">C13+C15</f>
        <v>-114</v>
      </c>
      <c r="D16" s="13">
        <f t="shared" si="6"/>
        <v>-4735</v>
      </c>
      <c r="E16" s="13">
        <f t="shared" ref="E16" si="7">E13+E15</f>
        <v>1075</v>
      </c>
      <c r="F16" s="13">
        <f t="shared" ref="F16:H16" si="8">F13+F15</f>
        <v>539</v>
      </c>
      <c r="G16" s="13">
        <f t="shared" si="8"/>
        <v>-1403</v>
      </c>
      <c r="H16" s="13">
        <f t="shared" si="8"/>
        <v>-4946</v>
      </c>
      <c r="I16" s="13">
        <f t="shared" ref="I16:J16" si="9">I13+I15</f>
        <v>-5176</v>
      </c>
      <c r="J16" s="13">
        <f t="shared" si="9"/>
        <v>-2961</v>
      </c>
      <c r="K16" s="13">
        <f>K13+K15</f>
        <v>-965</v>
      </c>
      <c r="L16" s="13">
        <f>L13+L15</f>
        <v>-1782</v>
      </c>
      <c r="M16" s="13">
        <f>M13+M15</f>
        <v>532.29999999999995</v>
      </c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0">
      <c r="A18" s="1" t="s">
        <v>78</v>
      </c>
      <c r="B18" s="3">
        <v>-1416</v>
      </c>
      <c r="C18" s="3">
        <v>-857</v>
      </c>
      <c r="D18" s="3">
        <v>-4104</v>
      </c>
      <c r="E18" s="3">
        <v>-363</v>
      </c>
      <c r="F18" s="3">
        <f>-1388+6</f>
        <v>-1382</v>
      </c>
      <c r="G18" s="3">
        <v>-1584</v>
      </c>
      <c r="H18" s="3">
        <f>-784+9</f>
        <v>-775</v>
      </c>
      <c r="I18" s="3">
        <f>-7618+65</f>
        <v>-7553</v>
      </c>
      <c r="J18" s="3">
        <f>-308+13</f>
        <v>-295</v>
      </c>
      <c r="K18" s="3">
        <f>-1439+4</f>
        <v>-1435</v>
      </c>
      <c r="L18" s="3">
        <f>-3333+25</f>
        <v>-3308</v>
      </c>
      <c r="M18" s="3">
        <f>-2537.5+23</f>
        <v>-2514.5</v>
      </c>
    </row>
    <row r="19" spans="1:20">
      <c r="A19" s="1" t="s">
        <v>105</v>
      </c>
      <c r="B19" s="3">
        <v>0</v>
      </c>
      <c r="C19" s="3">
        <v>0</v>
      </c>
      <c r="D19" s="3">
        <v>-1</v>
      </c>
      <c r="E19" s="3">
        <v>0</v>
      </c>
      <c r="F19" s="3">
        <v>0</v>
      </c>
      <c r="G19" s="3">
        <v>-1</v>
      </c>
      <c r="H19" s="3">
        <v>0</v>
      </c>
      <c r="I19" s="3">
        <v>-4</v>
      </c>
      <c r="J19" s="3">
        <v>0</v>
      </c>
      <c r="K19" s="3">
        <v>-4</v>
      </c>
      <c r="L19" s="3">
        <v>0</v>
      </c>
      <c r="M19" s="3">
        <v>0</v>
      </c>
    </row>
    <row r="20" spans="1:20">
      <c r="A20" s="1" t="s">
        <v>79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/>
      <c r="S20" s="19" t="s">
        <v>125</v>
      </c>
      <c r="T20" s="19" t="s">
        <v>123</v>
      </c>
    </row>
    <row r="21" spans="1:20">
      <c r="A21" s="35" t="s">
        <v>80</v>
      </c>
      <c r="B21" s="4">
        <f>1512+44</f>
        <v>1556</v>
      </c>
      <c r="C21" s="4">
        <v>579</v>
      </c>
      <c r="D21" s="4">
        <v>2568</v>
      </c>
      <c r="E21" s="4">
        <v>429</v>
      </c>
      <c r="F21" s="4">
        <v>1810</v>
      </c>
      <c r="G21" s="4">
        <v>66</v>
      </c>
      <c r="H21" s="4">
        <v>263</v>
      </c>
      <c r="I21" s="4">
        <v>370</v>
      </c>
      <c r="J21" s="4">
        <v>28</v>
      </c>
      <c r="K21" s="4">
        <v>388</v>
      </c>
      <c r="L21" s="4">
        <v>31</v>
      </c>
      <c r="M21" s="4">
        <v>-77</v>
      </c>
      <c r="S21" s="19" t="s">
        <v>88</v>
      </c>
      <c r="T21" s="19">
        <v>2020</v>
      </c>
    </row>
    <row r="22" spans="1:20">
      <c r="A22" s="30" t="s">
        <v>81</v>
      </c>
      <c r="B22" s="13">
        <f>SUM(B18:B21)+B16</f>
        <v>2599</v>
      </c>
      <c r="C22" s="13">
        <f>SUM(C18:C21)+C16</f>
        <v>-392</v>
      </c>
      <c r="D22" s="13">
        <f>SUM(D18:D21)+D16</f>
        <v>-6272</v>
      </c>
      <c r="E22" s="13">
        <f t="shared" ref="E22" si="10">SUM(E18:E21)+E16</f>
        <v>1141</v>
      </c>
      <c r="F22" s="13">
        <f>SUM(F18:F21)+F16</f>
        <v>967</v>
      </c>
      <c r="G22" s="13">
        <f>SUM(G18:G21)+G16</f>
        <v>-2922</v>
      </c>
      <c r="H22" s="13">
        <f>SUM(H18:H21)+H16</f>
        <v>-5458</v>
      </c>
      <c r="I22" s="13">
        <f t="shared" ref="I22:J22" si="11">SUM(I18:I21)+I16</f>
        <v>-12363</v>
      </c>
      <c r="J22" s="13">
        <f t="shared" si="11"/>
        <v>-3228</v>
      </c>
      <c r="K22" s="13">
        <f>SUM(K18:K21)+K16</f>
        <v>-2016</v>
      </c>
      <c r="L22" s="13">
        <f>SUM(L18:L21)+L16</f>
        <v>-5059</v>
      </c>
      <c r="M22" s="13">
        <f>SUM(M18:M21)+M16</f>
        <v>-2059.1999999999998</v>
      </c>
      <c r="S22" s="19" t="s">
        <v>124</v>
      </c>
      <c r="T22" s="19" t="s">
        <v>122</v>
      </c>
    </row>
    <row r="23" spans="1:20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Q23" s="19" t="s">
        <v>113</v>
      </c>
      <c r="S23" s="19">
        <v>11210</v>
      </c>
      <c r="T23" s="19">
        <v>29</v>
      </c>
    </row>
    <row r="24" spans="1:20">
      <c r="A24" s="1" t="s">
        <v>82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6000</v>
      </c>
      <c r="J24" s="3">
        <v>6000</v>
      </c>
      <c r="K24" s="3">
        <v>0</v>
      </c>
      <c r="L24" s="3">
        <v>0</v>
      </c>
      <c r="M24" s="3">
        <v>0</v>
      </c>
      <c r="Q24" s="19" t="s">
        <v>114</v>
      </c>
      <c r="S24" s="19">
        <v>-4520</v>
      </c>
      <c r="T24" s="19">
        <v>-3602</v>
      </c>
    </row>
    <row r="25" spans="1:20">
      <c r="A25" s="1" t="s">
        <v>83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5910</v>
      </c>
      <c r="J25" s="3">
        <v>5910</v>
      </c>
      <c r="K25" s="3">
        <v>0</v>
      </c>
      <c r="L25" s="3">
        <v>0</v>
      </c>
      <c r="M25" s="3">
        <v>0</v>
      </c>
      <c r="Q25" s="19" t="s">
        <v>115</v>
      </c>
      <c r="S25" s="19">
        <v>-3082</v>
      </c>
      <c r="T25" s="19">
        <v>-856</v>
      </c>
    </row>
    <row r="26" spans="1:20">
      <c r="A26" s="24" t="s">
        <v>102</v>
      </c>
      <c r="B26" s="36">
        <v>-801</v>
      </c>
      <c r="C26" s="36">
        <v>-639</v>
      </c>
      <c r="D26" s="36">
        <v>-2809</v>
      </c>
      <c r="E26" s="9">
        <v>-612</v>
      </c>
      <c r="F26" s="9">
        <v>-611</v>
      </c>
      <c r="G26" s="9">
        <v>-728</v>
      </c>
      <c r="H26" s="9">
        <v>-875</v>
      </c>
      <c r="I26" s="9">
        <v>-3082</v>
      </c>
      <c r="J26" s="9">
        <v>-856</v>
      </c>
      <c r="K26" s="9">
        <v>-725</v>
      </c>
      <c r="L26" s="9">
        <v>-665</v>
      </c>
      <c r="M26" s="17">
        <v>-836</v>
      </c>
      <c r="Q26" s="19" t="s">
        <v>116</v>
      </c>
      <c r="S26" s="19">
        <v>6000</v>
      </c>
      <c r="T26" s="19">
        <v>6000</v>
      </c>
    </row>
    <row r="27" spans="1:20">
      <c r="A27" s="24" t="s">
        <v>84</v>
      </c>
      <c r="B27" s="3">
        <v>3241</v>
      </c>
      <c r="C27" s="3">
        <f>89-138+249</f>
        <v>200</v>
      </c>
      <c r="D27" s="3">
        <f>5319-2562-274+634</f>
        <v>3117</v>
      </c>
      <c r="E27" s="17">
        <f>719-964-138-302</f>
        <v>-685</v>
      </c>
      <c r="F27" s="17">
        <v>-352</v>
      </c>
      <c r="G27" s="17">
        <v>3337</v>
      </c>
      <c r="H27" s="17">
        <v>834</v>
      </c>
      <c r="I27" s="17">
        <v>5007</v>
      </c>
      <c r="J27" s="17">
        <v>-3838</v>
      </c>
      <c r="K27" s="17">
        <v>4764</v>
      </c>
      <c r="L27" s="17">
        <v>3349</v>
      </c>
      <c r="M27" s="17">
        <f>1415-250-433</f>
        <v>732</v>
      </c>
      <c r="Q27" s="19" t="s">
        <v>117</v>
      </c>
      <c r="S27" s="19">
        <v>5910</v>
      </c>
      <c r="T27" s="19">
        <v>5910</v>
      </c>
    </row>
    <row r="28" spans="1:20">
      <c r="A28" s="25" t="s">
        <v>85</v>
      </c>
      <c r="B28" s="23">
        <f t="shared" ref="B28" si="12">SUM(B22:B27)</f>
        <v>5039</v>
      </c>
      <c r="C28" s="23">
        <f t="shared" ref="C28:D28" si="13">SUM(C22:C27)</f>
        <v>-831</v>
      </c>
      <c r="D28" s="23">
        <f t="shared" si="13"/>
        <v>-5964</v>
      </c>
      <c r="E28" s="23">
        <f t="shared" ref="E28" si="14">SUM(E22:E27)</f>
        <v>-156</v>
      </c>
      <c r="F28" s="23">
        <f t="shared" ref="F28:M28" si="15">SUM(F22:F27)</f>
        <v>4</v>
      </c>
      <c r="G28" s="23">
        <f t="shared" si="15"/>
        <v>-313</v>
      </c>
      <c r="H28" s="23">
        <f t="shared" si="15"/>
        <v>-5499</v>
      </c>
      <c r="I28" s="23">
        <f t="shared" si="15"/>
        <v>1472</v>
      </c>
      <c r="J28" s="23">
        <f t="shared" si="15"/>
        <v>3988</v>
      </c>
      <c r="K28" s="23">
        <f t="shared" si="15"/>
        <v>2023</v>
      </c>
      <c r="L28" s="23">
        <f t="shared" si="15"/>
        <v>-2375</v>
      </c>
      <c r="M28" s="23">
        <f t="shared" si="15"/>
        <v>-2163.1999999999998</v>
      </c>
      <c r="Q28" s="19" t="s">
        <v>118</v>
      </c>
      <c r="S28" s="19">
        <v>-128</v>
      </c>
      <c r="T28" s="19">
        <v>-65</v>
      </c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Q29" s="19" t="s">
        <v>119</v>
      </c>
      <c r="S29" s="19" t="s">
        <v>126</v>
      </c>
      <c r="T29" s="19" t="s">
        <v>126</v>
      </c>
    </row>
    <row r="30" spans="1:20">
      <c r="A30" s="35" t="s">
        <v>86</v>
      </c>
      <c r="B30" s="4">
        <v>1</v>
      </c>
      <c r="C30" s="4">
        <v>1</v>
      </c>
      <c r="D30" s="4">
        <v>1</v>
      </c>
      <c r="E30" s="4">
        <v>0</v>
      </c>
      <c r="F30" s="4">
        <v>0</v>
      </c>
      <c r="G30" s="4">
        <v>1</v>
      </c>
      <c r="H30" s="4">
        <v>0</v>
      </c>
      <c r="I30" s="4">
        <v>-4</v>
      </c>
      <c r="J30" s="4">
        <v>-1</v>
      </c>
      <c r="K30" s="4">
        <v>0</v>
      </c>
      <c r="L30" s="4">
        <v>-3</v>
      </c>
      <c r="M30" s="4">
        <v>0</v>
      </c>
      <c r="Q30" s="19" t="s">
        <v>120</v>
      </c>
      <c r="S30" s="19" t="s">
        <v>126</v>
      </c>
      <c r="T30" s="19" t="s">
        <v>126</v>
      </c>
    </row>
    <row r="31" spans="1:20">
      <c r="A31" s="30" t="s">
        <v>87</v>
      </c>
      <c r="B31" s="13">
        <f>SUM(B28:B30)</f>
        <v>5040</v>
      </c>
      <c r="C31" s="13">
        <f>SUM(C28:C30)</f>
        <v>-830</v>
      </c>
      <c r="D31" s="13">
        <f>SUM(D28:D30)</f>
        <v>-5963</v>
      </c>
      <c r="E31" s="13">
        <f>SUM(E28:E30)</f>
        <v>-156</v>
      </c>
      <c r="F31" s="13">
        <f t="shared" ref="F31:H31" si="16">SUM(F28:F30)</f>
        <v>4</v>
      </c>
      <c r="G31" s="13">
        <f t="shared" si="16"/>
        <v>-312</v>
      </c>
      <c r="H31" s="13">
        <f t="shared" si="16"/>
        <v>-5499</v>
      </c>
      <c r="I31" s="13">
        <f t="shared" ref="I31:J31" si="17">SUM(I28:I30)</f>
        <v>1468</v>
      </c>
      <c r="J31" s="13">
        <f t="shared" si="17"/>
        <v>3987</v>
      </c>
      <c r="K31" s="13">
        <f>SUM(K28:K30)</f>
        <v>2023</v>
      </c>
      <c r="L31" s="13">
        <f>SUM(L28:L30)</f>
        <v>-2378</v>
      </c>
      <c r="M31" s="13">
        <f>SUM(M28:M30)</f>
        <v>-2163.1999999999998</v>
      </c>
      <c r="Q31" s="19" t="s">
        <v>121</v>
      </c>
      <c r="S31" s="19">
        <v>-1555</v>
      </c>
      <c r="T31" s="19">
        <v>-200</v>
      </c>
    </row>
    <row r="32" spans="1:20">
      <c r="I32" s="19">
        <v>1468</v>
      </c>
      <c r="J32" s="19">
        <v>3987</v>
      </c>
      <c r="K32" s="19">
        <v>2023</v>
      </c>
      <c r="L32" s="19">
        <v>-2378</v>
      </c>
      <c r="M32" s="19">
        <v>-2163.6000000000004</v>
      </c>
      <c r="S32" s="19">
        <f>SUM(S23:S31)</f>
        <v>13835</v>
      </c>
      <c r="T32" s="19">
        <f>SUM(T23:T31)</f>
        <v>7216</v>
      </c>
    </row>
    <row r="34" spans="2:20">
      <c r="B34" s="26">
        <f>B16</f>
        <v>2459</v>
      </c>
      <c r="C34" s="26">
        <f>C16</f>
        <v>-114</v>
      </c>
      <c r="D34" s="26">
        <f>D16</f>
        <v>-4735</v>
      </c>
      <c r="E34" s="26">
        <f t="shared" ref="E34:G34" si="18">E16</f>
        <v>1075</v>
      </c>
      <c r="F34" s="26">
        <f t="shared" si="18"/>
        <v>539</v>
      </c>
      <c r="G34" s="26">
        <f t="shared" si="18"/>
        <v>-1403</v>
      </c>
      <c r="H34" s="26">
        <f>H16</f>
        <v>-4946</v>
      </c>
      <c r="I34" s="26">
        <f t="shared" ref="I34:M34" si="19">I16</f>
        <v>-5176</v>
      </c>
      <c r="J34" s="26">
        <f t="shared" si="19"/>
        <v>-2961</v>
      </c>
      <c r="K34" s="26">
        <f t="shared" si="19"/>
        <v>-965</v>
      </c>
      <c r="L34" s="26">
        <f t="shared" si="19"/>
        <v>-1782</v>
      </c>
      <c r="M34" s="26">
        <f t="shared" si="19"/>
        <v>532.29999999999995</v>
      </c>
      <c r="S34" s="37">
        <f>S23+S24+S28+S31</f>
        <v>5007</v>
      </c>
      <c r="T34" s="37">
        <f>T23+T24+T28+T31</f>
        <v>-3838</v>
      </c>
    </row>
    <row r="35" spans="2:20">
      <c r="B35" s="26">
        <f t="shared" ref="B35" si="20">SUM(B18:B21)</f>
        <v>140</v>
      </c>
      <c r="C35" s="26">
        <f t="shared" ref="C35:D35" si="21">SUM(C18:C21)</f>
        <v>-278</v>
      </c>
      <c r="D35" s="26">
        <f t="shared" si="21"/>
        <v>-1537</v>
      </c>
      <c r="E35" s="26">
        <f t="shared" ref="E35:G35" si="22">SUM(E18:E21)</f>
        <v>66</v>
      </c>
      <c r="F35" s="26">
        <f t="shared" si="22"/>
        <v>428</v>
      </c>
      <c r="G35" s="26">
        <f t="shared" si="22"/>
        <v>-1519</v>
      </c>
      <c r="H35" s="26">
        <f>SUM(H18:H21)</f>
        <v>-512</v>
      </c>
      <c r="I35" s="26">
        <f t="shared" ref="I35:M35" si="23">SUM(I18:I21)</f>
        <v>-7187</v>
      </c>
      <c r="J35" s="26">
        <f t="shared" si="23"/>
        <v>-267</v>
      </c>
      <c r="K35" s="26">
        <f t="shared" si="23"/>
        <v>-1051</v>
      </c>
      <c r="L35" s="26">
        <f t="shared" si="23"/>
        <v>-3277</v>
      </c>
      <c r="M35" s="26">
        <f t="shared" si="23"/>
        <v>-2591.5</v>
      </c>
    </row>
    <row r="36" spans="2:20">
      <c r="B36" s="26">
        <f>SUM(B24:B27)</f>
        <v>2440</v>
      </c>
      <c r="C36" s="26">
        <f>SUM(C24:C27)</f>
        <v>-439</v>
      </c>
      <c r="D36" s="26">
        <f>SUM(D24:D27)</f>
        <v>308</v>
      </c>
      <c r="E36" s="26">
        <f t="shared" ref="E36:G36" si="24">SUM(E24:E27)</f>
        <v>-1297</v>
      </c>
      <c r="F36" s="26">
        <f t="shared" si="24"/>
        <v>-963</v>
      </c>
      <c r="G36" s="26">
        <f t="shared" si="24"/>
        <v>2609</v>
      </c>
      <c r="H36" s="26">
        <f>SUM(H24:H27)</f>
        <v>-41</v>
      </c>
      <c r="I36" s="26">
        <f t="shared" ref="I36:M36" si="25">SUM(I24:I27)</f>
        <v>13835</v>
      </c>
      <c r="J36" s="26">
        <f t="shared" si="25"/>
        <v>7216</v>
      </c>
      <c r="K36" s="26">
        <f t="shared" si="25"/>
        <v>4039</v>
      </c>
      <c r="L36" s="26">
        <f t="shared" si="25"/>
        <v>2684</v>
      </c>
      <c r="M36" s="26">
        <f t="shared" si="25"/>
        <v>-104</v>
      </c>
    </row>
    <row r="38" spans="2:20">
      <c r="B38" s="26">
        <v>5040</v>
      </c>
      <c r="C38" s="26">
        <v>-830</v>
      </c>
      <c r="D38" s="26">
        <v>-5963</v>
      </c>
      <c r="E38" s="26">
        <v>-156</v>
      </c>
      <c r="F38" s="26">
        <v>4</v>
      </c>
      <c r="G38" s="26">
        <v>-312</v>
      </c>
      <c r="H38" s="26">
        <v>-5499</v>
      </c>
      <c r="I38" s="26">
        <v>1468</v>
      </c>
      <c r="J38" s="26">
        <v>3987</v>
      </c>
      <c r="K38" s="26">
        <v>2023</v>
      </c>
      <c r="L38" s="26">
        <v>-2378</v>
      </c>
      <c r="M38" s="26">
        <v>-2163.6000000000004</v>
      </c>
    </row>
    <row r="39" spans="2:20">
      <c r="B39" s="26">
        <f>B38-B31</f>
        <v>0</v>
      </c>
      <c r="C39" s="26">
        <f>C38-C31</f>
        <v>0</v>
      </c>
      <c r="D39" s="26">
        <f>D38-D31</f>
        <v>0</v>
      </c>
      <c r="E39" s="26">
        <f>E38-E31</f>
        <v>0</v>
      </c>
      <c r="F39" s="26">
        <f t="shared" ref="F39:G39" si="26">F38-F31</f>
        <v>0</v>
      </c>
      <c r="G39" s="26">
        <f t="shared" si="26"/>
        <v>0</v>
      </c>
      <c r="H39" s="26">
        <f>H38-H31</f>
        <v>0</v>
      </c>
      <c r="I39" s="26">
        <f t="shared" ref="I39" si="27">I38-I31</f>
        <v>0</v>
      </c>
      <c r="J39" s="26">
        <f t="shared" ref="J39" si="28">J38-J31</f>
        <v>0</v>
      </c>
      <c r="K39" s="26">
        <f t="shared" ref="K39:L39" si="29">K38-K31</f>
        <v>0</v>
      </c>
      <c r="L39" s="26">
        <f t="shared" si="29"/>
        <v>0</v>
      </c>
      <c r="M39" s="26">
        <f t="shared" ref="M39" si="30">M38-M31</f>
        <v>-0.4000000000005457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8804-04B7-476C-953A-45510ACD47D6}">
  <dimension ref="A1:AD61"/>
  <sheetViews>
    <sheetView tabSelected="1" topLeftCell="A52" workbookViewId="0">
      <selection activeCell="G63" sqref="G63"/>
    </sheetView>
  </sheetViews>
  <sheetFormatPr defaultRowHeight="15"/>
  <cols>
    <col min="1" max="1" width="32" bestFit="1" customWidth="1"/>
    <col min="2" max="2" width="4.85546875" customWidth="1"/>
    <col min="3" max="3" width="9.5703125" style="57" bestFit="1" customWidth="1"/>
    <col min="4" max="5" width="9.5703125" bestFit="1" customWidth="1"/>
    <col min="6" max="6" width="4.85546875" customWidth="1"/>
    <col min="7" max="7" width="9.5703125" style="57" bestFit="1" customWidth="1"/>
    <col min="8" max="9" width="9.5703125" bestFit="1" customWidth="1"/>
    <col min="10" max="10" width="3.28515625" customWidth="1"/>
    <col min="11" max="13" width="9.5703125" bestFit="1" customWidth="1"/>
    <col min="14" max="14" width="3.28515625" customWidth="1"/>
    <col min="15" max="17" width="9.5703125" bestFit="1" customWidth="1"/>
    <col min="18" max="18" width="3.42578125" customWidth="1"/>
    <col min="19" max="20" width="9.5703125" bestFit="1" customWidth="1"/>
    <col min="22" max="22" width="2.7109375" customWidth="1"/>
    <col min="23" max="25" width="9.5703125" bestFit="1" customWidth="1"/>
    <col min="26" max="26" width="2.7109375" customWidth="1"/>
    <col min="27" max="28" width="9.5703125" bestFit="1" customWidth="1"/>
  </cols>
  <sheetData>
    <row r="1" spans="1:30">
      <c r="A1" s="56"/>
      <c r="B1" s="56"/>
      <c r="D1" s="56"/>
      <c r="E1" s="58"/>
      <c r="F1" s="56"/>
      <c r="H1" s="56"/>
      <c r="I1" s="58"/>
      <c r="J1" s="56"/>
      <c r="K1" s="56"/>
      <c r="L1" s="56"/>
      <c r="M1" s="58"/>
      <c r="N1" s="103"/>
      <c r="O1" s="103"/>
      <c r="P1" s="56"/>
      <c r="Q1" s="58"/>
      <c r="R1" s="103"/>
      <c r="S1" s="103"/>
      <c r="T1" s="56"/>
      <c r="U1" s="56"/>
      <c r="V1" s="103"/>
      <c r="W1" s="103"/>
      <c r="X1" s="58"/>
      <c r="Y1" s="56"/>
      <c r="Z1" s="103"/>
      <c r="AA1" s="103"/>
      <c r="AB1" s="56"/>
      <c r="AC1" s="56"/>
      <c r="AD1" s="56"/>
    </row>
    <row r="2" spans="1:30">
      <c r="A2" s="56"/>
      <c r="B2" s="56"/>
      <c r="D2" s="56"/>
      <c r="E2" s="58"/>
      <c r="F2" s="56"/>
      <c r="H2" s="56"/>
      <c r="I2" s="58"/>
      <c r="J2" s="56"/>
      <c r="K2" s="56"/>
      <c r="L2" s="56"/>
      <c r="M2" s="58"/>
      <c r="N2" s="103"/>
      <c r="O2" s="103"/>
      <c r="P2" s="56"/>
      <c r="Q2" s="58"/>
      <c r="R2" s="103"/>
      <c r="S2" s="103"/>
      <c r="T2" s="56"/>
      <c r="U2" s="56"/>
      <c r="V2" s="103"/>
      <c r="W2" s="103"/>
      <c r="X2" s="58"/>
      <c r="Y2" s="56"/>
      <c r="Z2" s="56"/>
      <c r="AA2" s="56" t="s">
        <v>140</v>
      </c>
      <c r="AB2" s="56" t="s">
        <v>140</v>
      </c>
      <c r="AC2" s="56"/>
      <c r="AD2" s="56"/>
    </row>
    <row r="3" spans="1:30" ht="18.75">
      <c r="A3" s="59" t="s">
        <v>141</v>
      </c>
      <c r="B3" s="60"/>
      <c r="C3" s="61" t="s">
        <v>127</v>
      </c>
      <c r="D3" s="61" t="s">
        <v>108</v>
      </c>
      <c r="E3" s="62"/>
      <c r="F3" s="60"/>
      <c r="G3" s="61" t="s">
        <v>127</v>
      </c>
      <c r="H3" s="61" t="s">
        <v>108</v>
      </c>
      <c r="I3" s="62"/>
      <c r="J3" s="56"/>
      <c r="K3" s="61" t="s">
        <v>108</v>
      </c>
      <c r="L3" s="61" t="s">
        <v>88</v>
      </c>
      <c r="M3" s="62"/>
      <c r="N3" s="56"/>
      <c r="O3" s="61" t="s">
        <v>108</v>
      </c>
      <c r="P3" s="61" t="s">
        <v>88</v>
      </c>
      <c r="Q3" s="62"/>
      <c r="R3" s="56"/>
      <c r="S3" s="61" t="s">
        <v>108</v>
      </c>
      <c r="T3" s="61" t="s">
        <v>88</v>
      </c>
      <c r="U3" s="62"/>
      <c r="V3" s="56"/>
      <c r="W3" s="61" t="s">
        <v>108</v>
      </c>
      <c r="X3" s="61" t="s">
        <v>88</v>
      </c>
      <c r="Y3" s="61"/>
      <c r="Z3" s="61"/>
      <c r="AA3" s="61" t="s">
        <v>108</v>
      </c>
      <c r="AB3" s="61" t="s">
        <v>88</v>
      </c>
      <c r="AC3" s="56"/>
      <c r="AD3" s="56"/>
    </row>
    <row r="4" spans="1:30" ht="18.75">
      <c r="A4" s="60"/>
      <c r="B4" s="60"/>
      <c r="C4" s="63" t="s">
        <v>5</v>
      </c>
      <c r="D4" s="63" t="s">
        <v>5</v>
      </c>
      <c r="E4" s="62"/>
      <c r="F4" s="60"/>
      <c r="G4" s="63" t="s">
        <v>4</v>
      </c>
      <c r="H4" s="63" t="s">
        <v>4</v>
      </c>
      <c r="I4" s="62"/>
      <c r="J4" s="56"/>
      <c r="K4" s="63" t="s">
        <v>3</v>
      </c>
      <c r="L4" s="63" t="s">
        <v>3</v>
      </c>
      <c r="M4" s="62"/>
      <c r="N4" s="56"/>
      <c r="O4" s="63" t="s">
        <v>2</v>
      </c>
      <c r="P4" s="63" t="s">
        <v>2</v>
      </c>
      <c r="Q4" s="62"/>
      <c r="R4" s="56"/>
      <c r="S4" s="63" t="s">
        <v>5</v>
      </c>
      <c r="T4" s="63" t="s">
        <v>5</v>
      </c>
      <c r="U4" s="62"/>
      <c r="V4" s="56"/>
      <c r="W4" s="63" t="s">
        <v>4</v>
      </c>
      <c r="X4" s="63" t="s">
        <v>4</v>
      </c>
      <c r="Y4" s="56"/>
      <c r="Z4" s="56"/>
      <c r="AA4" s="63" t="s">
        <v>4</v>
      </c>
      <c r="AB4" s="63" t="s">
        <v>4</v>
      </c>
      <c r="AC4" s="56"/>
      <c r="AD4" s="56"/>
    </row>
    <row r="5" spans="1:30">
      <c r="A5" s="64" t="s">
        <v>142</v>
      </c>
      <c r="B5" s="65"/>
      <c r="C5" s="61" t="s">
        <v>10</v>
      </c>
      <c r="D5" s="61" t="s">
        <v>10</v>
      </c>
      <c r="E5" s="66"/>
      <c r="F5" s="65"/>
      <c r="G5" s="61" t="s">
        <v>9</v>
      </c>
      <c r="H5" s="61" t="s">
        <v>9</v>
      </c>
      <c r="I5" s="66"/>
      <c r="J5" s="56"/>
      <c r="K5" s="61" t="s">
        <v>8</v>
      </c>
      <c r="L5" s="61" t="s">
        <v>8</v>
      </c>
      <c r="M5" s="66"/>
      <c r="N5" s="56"/>
      <c r="O5" s="61" t="s">
        <v>7</v>
      </c>
      <c r="P5" s="61" t="s">
        <v>7</v>
      </c>
      <c r="Q5" s="66"/>
      <c r="R5" s="56"/>
      <c r="S5" s="61" t="s">
        <v>10</v>
      </c>
      <c r="T5" s="61" t="s">
        <v>10</v>
      </c>
      <c r="U5" s="66"/>
      <c r="V5" s="56"/>
      <c r="W5" s="61" t="s">
        <v>9</v>
      </c>
      <c r="X5" s="61" t="s">
        <v>9</v>
      </c>
      <c r="Y5" s="56"/>
      <c r="Z5" s="56"/>
      <c r="AA5" s="61" t="s">
        <v>8</v>
      </c>
      <c r="AB5" s="61" t="s">
        <v>8</v>
      </c>
      <c r="AC5" s="56"/>
      <c r="AD5" s="56"/>
    </row>
    <row r="6" spans="1:30">
      <c r="A6" s="67" t="s">
        <v>21</v>
      </c>
      <c r="B6" s="54"/>
      <c r="C6" s="68">
        <v>-6713</v>
      </c>
      <c r="D6" s="69">
        <v>-2778</v>
      </c>
      <c r="E6" s="97"/>
      <c r="F6" s="54"/>
      <c r="G6" s="68">
        <f>-6181-G7-G8-G9</f>
        <v>-5717</v>
      </c>
      <c r="H6" s="68">
        <f>-3901-H7-H8-H9</f>
        <v>-3209</v>
      </c>
      <c r="I6" s="66"/>
      <c r="J6" s="56"/>
      <c r="K6" s="69">
        <f>'[1]Income Statement'!J24+'[1]Income Statement'!J34</f>
        <v>-5812</v>
      </c>
      <c r="L6" s="70">
        <f>'[1]Income Statement'!E24+'[1]Income Statement'!E34</f>
        <v>-5317</v>
      </c>
      <c r="M6" s="66"/>
      <c r="N6" s="56"/>
      <c r="O6" s="69">
        <v>-4330</v>
      </c>
      <c r="P6" s="69">
        <v>-3716</v>
      </c>
      <c r="Q6" s="66"/>
      <c r="R6" s="56"/>
      <c r="S6" s="69">
        <v>-3577</v>
      </c>
      <c r="T6" s="69">
        <v>-8067</v>
      </c>
      <c r="U6" s="66"/>
      <c r="V6" s="56"/>
      <c r="W6" s="69">
        <v>-4048</v>
      </c>
      <c r="X6" s="70">
        <v>-9914</v>
      </c>
      <c r="Y6" s="56"/>
      <c r="Z6" s="56"/>
      <c r="AA6" s="69">
        <v>-11955</v>
      </c>
      <c r="AB6" s="69">
        <v>-21697</v>
      </c>
      <c r="AC6" s="56"/>
      <c r="AD6" s="56"/>
    </row>
    <row r="7" spans="1:30">
      <c r="A7" s="67" t="s">
        <v>143</v>
      </c>
      <c r="B7" s="54"/>
      <c r="C7" s="68">
        <v>5</v>
      </c>
      <c r="D7" s="56">
        <v>-1</v>
      </c>
      <c r="E7" s="97"/>
      <c r="F7" s="54"/>
      <c r="G7" s="68">
        <v>-2</v>
      </c>
      <c r="H7" s="71">
        <v>28</v>
      </c>
      <c r="I7" s="66"/>
      <c r="J7" s="56"/>
      <c r="K7" s="69">
        <f>'[1]Income Statement'!J29</f>
        <v>-3</v>
      </c>
      <c r="L7" s="70">
        <f>'[1]Income Statement'!E29</f>
        <v>15</v>
      </c>
      <c r="M7" s="66"/>
      <c r="N7" s="56"/>
      <c r="O7" s="56">
        <v>2</v>
      </c>
      <c r="P7" s="56">
        <v>0</v>
      </c>
      <c r="Q7" s="66"/>
      <c r="R7" s="56"/>
      <c r="S7" s="56">
        <v>-1</v>
      </c>
      <c r="T7" s="56">
        <v>-18</v>
      </c>
      <c r="U7" s="66"/>
      <c r="V7" s="56"/>
      <c r="W7" s="56">
        <v>28</v>
      </c>
      <c r="X7" s="58">
        <v>-62</v>
      </c>
      <c r="Y7" s="56"/>
      <c r="Z7" s="56"/>
      <c r="AA7" s="56">
        <v>29</v>
      </c>
      <c r="AB7" s="56">
        <v>-80</v>
      </c>
      <c r="AC7" s="56"/>
      <c r="AD7" s="56"/>
    </row>
    <row r="8" spans="1:30">
      <c r="A8" s="67" t="s">
        <v>144</v>
      </c>
      <c r="B8" s="54"/>
      <c r="C8" s="68">
        <f>SUM('Income Statement'!N32:N34)</f>
        <v>-1162.2932302739205</v>
      </c>
      <c r="D8" s="56">
        <f>-374-797</f>
        <v>-1171</v>
      </c>
      <c r="E8" s="97"/>
      <c r="F8" s="54"/>
      <c r="G8" s="68">
        <v>-1183</v>
      </c>
      <c r="H8" s="71">
        <v>-1265</v>
      </c>
      <c r="I8" s="66"/>
      <c r="J8" s="56"/>
      <c r="K8" s="69">
        <f>'[1]Income Statement'!J32+'[1]Income Statement'!J33</f>
        <v>-389</v>
      </c>
      <c r="L8" s="70">
        <f>'[1]Income Statement'!E32+'[1]Income Statement'!E33</f>
        <v>-458</v>
      </c>
      <c r="M8" s="66"/>
      <c r="N8" s="56"/>
      <c r="O8" s="56">
        <v>-412</v>
      </c>
      <c r="P8" s="69">
        <v>-1520</v>
      </c>
      <c r="Q8" s="66"/>
      <c r="R8" s="56"/>
      <c r="S8" s="56">
        <v>-405</v>
      </c>
      <c r="T8" s="56">
        <v>-495</v>
      </c>
      <c r="U8" s="66"/>
      <c r="V8" s="56"/>
      <c r="W8" s="56">
        <v>-447</v>
      </c>
      <c r="X8" s="58">
        <v>-500</v>
      </c>
      <c r="Y8" s="56"/>
      <c r="Z8" s="56"/>
      <c r="AA8" s="69">
        <v>-1264</v>
      </c>
      <c r="AB8" s="69">
        <v>-2515</v>
      </c>
      <c r="AC8" s="56"/>
      <c r="AD8" s="56"/>
    </row>
    <row r="9" spans="1:30">
      <c r="A9" s="72" t="s">
        <v>14</v>
      </c>
      <c r="B9" s="54"/>
      <c r="C9" s="73">
        <v>821</v>
      </c>
      <c r="D9" s="77">
        <v>467</v>
      </c>
      <c r="E9" s="97"/>
      <c r="F9" s="54"/>
      <c r="G9" s="73">
        <v>721</v>
      </c>
      <c r="H9" s="74">
        <v>545</v>
      </c>
      <c r="I9" s="66"/>
      <c r="J9" s="56"/>
      <c r="K9" s="75">
        <f>'[1]Income Statement'!J11</f>
        <v>651</v>
      </c>
      <c r="L9" s="76">
        <f>'[1]Income Statement'!E11</f>
        <v>605</v>
      </c>
      <c r="M9" s="66"/>
      <c r="N9" s="56"/>
      <c r="O9" s="77">
        <v>730</v>
      </c>
      <c r="P9" s="77">
        <v>708</v>
      </c>
      <c r="Q9" s="66"/>
      <c r="R9" s="56"/>
      <c r="S9" s="77">
        <v>468</v>
      </c>
      <c r="T9" s="77">
        <v>888</v>
      </c>
      <c r="U9" s="66"/>
      <c r="V9" s="56"/>
      <c r="W9" s="77">
        <v>545</v>
      </c>
      <c r="X9" s="76">
        <v>1110</v>
      </c>
      <c r="Y9" s="56"/>
      <c r="Z9" s="56"/>
      <c r="AA9" s="75">
        <v>1743</v>
      </c>
      <c r="AB9" s="75">
        <v>2706</v>
      </c>
      <c r="AC9" s="56"/>
      <c r="AD9" s="56"/>
    </row>
    <row r="10" spans="1:30">
      <c r="A10" s="78" t="s">
        <v>145</v>
      </c>
      <c r="B10" s="65"/>
      <c r="C10" s="79">
        <f>SUM(C6:C9)</f>
        <v>-7049.2932302739209</v>
      </c>
      <c r="D10" s="79">
        <f>SUM(D6:D9)</f>
        <v>-3483</v>
      </c>
      <c r="E10" s="99"/>
      <c r="F10" s="65"/>
      <c r="G10" s="79">
        <f>SUM(G6:G9)</f>
        <v>-6181</v>
      </c>
      <c r="H10" s="79">
        <f>SUM(H6:H9)</f>
        <v>-3901</v>
      </c>
      <c r="I10" s="80"/>
      <c r="J10" s="56"/>
      <c r="K10" s="70">
        <f>SUM(K6:K9)</f>
        <v>-5553</v>
      </c>
      <c r="L10" s="70">
        <f>SUM(L6:L9)</f>
        <v>-5155</v>
      </c>
      <c r="M10" s="66"/>
      <c r="N10" s="56"/>
      <c r="O10" s="69">
        <v>-4010</v>
      </c>
      <c r="P10" s="70">
        <v>-4528</v>
      </c>
      <c r="Q10" s="66"/>
      <c r="R10" s="56"/>
      <c r="S10" s="69">
        <v>-3515</v>
      </c>
      <c r="T10" s="70">
        <v>-7692</v>
      </c>
      <c r="U10" s="66"/>
      <c r="V10" s="56"/>
      <c r="W10" s="69">
        <v>-3922</v>
      </c>
      <c r="X10" s="70">
        <v>-9366</v>
      </c>
      <c r="Y10" s="58"/>
      <c r="Z10" s="56"/>
      <c r="AA10" s="70">
        <v>-11447</v>
      </c>
      <c r="AB10" s="70">
        <v>-21586</v>
      </c>
      <c r="AC10" s="56"/>
      <c r="AD10" s="56"/>
    </row>
    <row r="11" spans="1:30">
      <c r="A11" s="81"/>
      <c r="B11" s="56"/>
      <c r="C11" s="71"/>
      <c r="D11" s="57"/>
      <c r="E11" s="95"/>
      <c r="F11" s="56"/>
      <c r="G11" s="71"/>
      <c r="H11" s="56"/>
      <c r="I11" s="58"/>
      <c r="J11" s="56"/>
      <c r="K11" s="56"/>
      <c r="L11" s="56"/>
      <c r="M11" s="58"/>
      <c r="N11" s="103"/>
      <c r="O11" s="103"/>
      <c r="P11" s="58"/>
      <c r="Q11" s="58"/>
      <c r="R11" s="103"/>
      <c r="S11" s="103"/>
      <c r="T11" s="58"/>
      <c r="U11" s="58"/>
      <c r="V11" s="103"/>
      <c r="W11" s="103"/>
      <c r="X11" s="58"/>
      <c r="Y11" s="56"/>
      <c r="Z11" s="103"/>
      <c r="AA11" s="103"/>
      <c r="AB11" s="56"/>
      <c r="AC11" s="56"/>
      <c r="AD11" s="56"/>
    </row>
    <row r="12" spans="1:30">
      <c r="A12" s="72" t="s">
        <v>146</v>
      </c>
      <c r="B12" s="54"/>
      <c r="C12" s="73">
        <v>7306.1759949999996</v>
      </c>
      <c r="D12" s="75">
        <v>2534</v>
      </c>
      <c r="E12" s="97"/>
      <c r="F12" s="54"/>
      <c r="G12" s="73">
        <v>7072.152</v>
      </c>
      <c r="H12" s="73">
        <v>2768.5830000000001</v>
      </c>
      <c r="I12" s="66"/>
      <c r="J12" s="56"/>
      <c r="K12" s="75">
        <v>7026</v>
      </c>
      <c r="L12" s="76">
        <v>3923</v>
      </c>
      <c r="M12" s="66"/>
      <c r="N12" s="56"/>
      <c r="O12" s="75">
        <v>4924</v>
      </c>
      <c r="P12" s="76">
        <v>1929</v>
      </c>
      <c r="Q12" s="66"/>
      <c r="R12" s="56"/>
      <c r="S12" s="75">
        <v>2534</v>
      </c>
      <c r="T12" s="76">
        <v>6256</v>
      </c>
      <c r="U12" s="66"/>
      <c r="V12" s="56"/>
      <c r="W12" s="75">
        <v>2769</v>
      </c>
      <c r="X12" s="75">
        <v>11258</v>
      </c>
      <c r="Y12" s="56"/>
      <c r="Z12" s="56"/>
      <c r="AA12" s="75">
        <v>10227</v>
      </c>
      <c r="AB12" s="75">
        <v>19442</v>
      </c>
      <c r="AC12" s="56"/>
      <c r="AD12" s="56"/>
    </row>
    <row r="13" spans="1:30">
      <c r="A13" s="78" t="s">
        <v>147</v>
      </c>
      <c r="B13" s="65"/>
      <c r="C13" s="82">
        <f>-C10/C12</f>
        <v>0.96484032619774329</v>
      </c>
      <c r="D13" s="82">
        <f>-D10/D12</f>
        <v>1.3745067087608525</v>
      </c>
      <c r="E13" s="97"/>
      <c r="F13" s="65"/>
      <c r="G13" s="82">
        <f>-G10/G12</f>
        <v>0.87399139611252696</v>
      </c>
      <c r="H13" s="82">
        <f>-H10/H12</f>
        <v>1.4090240386508188</v>
      </c>
      <c r="I13" s="66"/>
      <c r="J13" s="56"/>
      <c r="K13" s="83">
        <f>-K10/K12</f>
        <v>0.79035012809564475</v>
      </c>
      <c r="L13" s="83">
        <f>-L10/L12</f>
        <v>1.314045373438695</v>
      </c>
      <c r="M13" s="66"/>
      <c r="N13" s="56"/>
      <c r="O13" s="56">
        <v>0.81</v>
      </c>
      <c r="P13" s="56">
        <v>2.35</v>
      </c>
      <c r="Q13" s="66"/>
      <c r="R13" s="56"/>
      <c r="S13" s="56">
        <v>1.39</v>
      </c>
      <c r="T13" s="56">
        <v>1.23</v>
      </c>
      <c r="U13" s="66"/>
      <c r="V13" s="56"/>
      <c r="W13" s="56">
        <v>1.42</v>
      </c>
      <c r="X13" s="56">
        <v>0.83</v>
      </c>
      <c r="Y13" s="56"/>
      <c r="Z13" s="56"/>
      <c r="AA13" s="56">
        <v>1.1200000000000001</v>
      </c>
      <c r="AB13" s="56">
        <v>1.1100000000000001</v>
      </c>
      <c r="AC13" s="56"/>
      <c r="AD13" s="56"/>
    </row>
    <row r="14" spans="1:30">
      <c r="A14" s="81"/>
      <c r="B14" s="56"/>
      <c r="D14" s="57"/>
      <c r="E14" s="95"/>
      <c r="F14" s="56"/>
      <c r="H14" s="56"/>
      <c r="I14" s="58"/>
      <c r="J14" s="56"/>
      <c r="K14" s="56"/>
      <c r="L14" s="56"/>
      <c r="M14" s="58"/>
      <c r="N14" s="103"/>
      <c r="O14" s="103"/>
      <c r="P14" s="58"/>
      <c r="Q14" s="58"/>
      <c r="R14" s="103"/>
      <c r="S14" s="103"/>
      <c r="T14" s="58"/>
      <c r="U14" s="58"/>
      <c r="V14" s="103"/>
      <c r="W14" s="103"/>
      <c r="X14" s="58"/>
      <c r="Y14" s="56"/>
      <c r="Z14" s="103"/>
      <c r="AA14" s="103"/>
      <c r="AB14" s="56"/>
      <c r="AC14" s="56"/>
      <c r="AD14" s="56"/>
    </row>
    <row r="15" spans="1:30">
      <c r="A15" s="81"/>
      <c r="B15" s="56"/>
      <c r="D15" s="57"/>
      <c r="E15" s="95"/>
      <c r="F15" s="56"/>
      <c r="H15" s="56"/>
      <c r="I15" s="58"/>
      <c r="J15" s="56"/>
      <c r="K15" s="56"/>
      <c r="L15" s="56"/>
      <c r="M15" s="58"/>
      <c r="N15" s="103"/>
      <c r="O15" s="103"/>
      <c r="P15" s="58"/>
      <c r="Q15" s="58"/>
      <c r="R15" s="103"/>
      <c r="S15" s="103"/>
      <c r="T15" s="58"/>
      <c r="U15" s="58"/>
      <c r="V15" s="103"/>
      <c r="W15" s="103"/>
      <c r="X15" s="58"/>
      <c r="Y15" s="56"/>
      <c r="Z15" s="103"/>
      <c r="AA15" s="103"/>
      <c r="AB15" s="56"/>
      <c r="AC15" s="56"/>
      <c r="AD15" s="56"/>
    </row>
    <row r="16" spans="1:30">
      <c r="A16" s="64" t="s">
        <v>148</v>
      </c>
      <c r="B16" s="65"/>
      <c r="C16" s="84"/>
      <c r="D16" s="84"/>
      <c r="E16" s="97"/>
      <c r="F16" s="65"/>
      <c r="G16" s="84"/>
      <c r="H16" s="85"/>
      <c r="I16" s="66"/>
      <c r="J16" s="86"/>
      <c r="K16" s="85"/>
      <c r="L16" s="85"/>
      <c r="M16" s="66"/>
      <c r="N16" s="103"/>
      <c r="O16" s="103"/>
      <c r="P16" s="87"/>
      <c r="Q16" s="66"/>
      <c r="R16" s="103"/>
      <c r="S16" s="103"/>
      <c r="T16" s="87"/>
      <c r="U16" s="66"/>
      <c r="V16" s="103"/>
      <c r="W16" s="103"/>
      <c r="X16" s="87"/>
      <c r="Y16" s="56"/>
      <c r="Z16" s="103"/>
      <c r="AA16" s="103"/>
      <c r="AB16" s="87"/>
      <c r="AC16" s="56"/>
      <c r="AD16" s="56"/>
    </row>
    <row r="17" spans="1:30">
      <c r="A17" s="67" t="s">
        <v>145</v>
      </c>
      <c r="B17" s="54"/>
      <c r="C17" s="68">
        <f>C10</f>
        <v>-7049.2932302739209</v>
      </c>
      <c r="D17" s="68">
        <f>D10</f>
        <v>-3483</v>
      </c>
      <c r="E17" s="97"/>
      <c r="F17" s="54"/>
      <c r="G17" s="68">
        <f>G10</f>
        <v>-6181</v>
      </c>
      <c r="H17" s="68">
        <f>H10</f>
        <v>-3901</v>
      </c>
      <c r="I17" s="66"/>
      <c r="J17" s="56"/>
      <c r="K17" s="69">
        <f>K10</f>
        <v>-5553</v>
      </c>
      <c r="L17" s="69">
        <f>L10</f>
        <v>-5155</v>
      </c>
      <c r="M17" s="66"/>
      <c r="N17" s="56"/>
      <c r="O17" s="69">
        <v>-4010</v>
      </c>
      <c r="P17" s="69">
        <v>-4528</v>
      </c>
      <c r="Q17" s="66"/>
      <c r="R17" s="56"/>
      <c r="S17" s="69">
        <v>-3515</v>
      </c>
      <c r="T17" s="69">
        <v>-7692</v>
      </c>
      <c r="U17" s="66"/>
      <c r="V17" s="56"/>
      <c r="W17" s="69">
        <v>-3922</v>
      </c>
      <c r="X17" s="70">
        <v>-9366</v>
      </c>
      <c r="Y17" s="56"/>
      <c r="Z17" s="56"/>
      <c r="AA17" s="69">
        <v>-11447</v>
      </c>
      <c r="AB17" s="70">
        <v>-21586</v>
      </c>
      <c r="AC17" s="56"/>
      <c r="AD17" s="56"/>
    </row>
    <row r="18" spans="1:30">
      <c r="A18" s="67" t="s">
        <v>149</v>
      </c>
      <c r="B18" s="54"/>
      <c r="C18" s="88"/>
      <c r="D18" s="79">
        <v>-100</v>
      </c>
      <c r="E18" s="97"/>
      <c r="F18" s="54"/>
      <c r="G18" s="88"/>
      <c r="H18" s="70">
        <f>-3967-H17-H19</f>
        <v>53</v>
      </c>
      <c r="I18" s="66"/>
      <c r="J18" s="54"/>
      <c r="K18" s="88"/>
      <c r="L18" s="58">
        <v>25</v>
      </c>
      <c r="M18" s="66"/>
      <c r="N18" s="103"/>
      <c r="O18" s="103"/>
      <c r="P18" s="58">
        <v>88</v>
      </c>
      <c r="Q18" s="66"/>
      <c r="R18" s="103"/>
      <c r="S18" s="103"/>
      <c r="T18" s="56">
        <v>119</v>
      </c>
      <c r="U18" s="66"/>
      <c r="V18" s="103"/>
      <c r="W18" s="103"/>
      <c r="X18" s="58">
        <v>355</v>
      </c>
      <c r="Y18" s="56"/>
      <c r="Z18" s="56"/>
      <c r="AA18" s="56">
        <v>0</v>
      </c>
      <c r="AB18" s="56">
        <v>355</v>
      </c>
      <c r="AC18" s="56"/>
      <c r="AD18" s="56"/>
    </row>
    <row r="19" spans="1:30">
      <c r="A19" s="67" t="s">
        <v>150</v>
      </c>
      <c r="B19" s="54"/>
      <c r="C19" s="71">
        <v>-132</v>
      </c>
      <c r="D19" s="71">
        <v>-18</v>
      </c>
      <c r="E19" s="97"/>
      <c r="F19" s="54"/>
      <c r="G19" s="71">
        <v>2</v>
      </c>
      <c r="H19" s="56">
        <v>-119</v>
      </c>
      <c r="I19" s="66"/>
      <c r="J19" s="56"/>
      <c r="K19" s="56">
        <v>-38</v>
      </c>
      <c r="L19" s="58">
        <v>4</v>
      </c>
      <c r="M19" s="66"/>
      <c r="N19" s="56"/>
      <c r="O19" s="56">
        <v>-180</v>
      </c>
      <c r="P19" s="70">
        <v>-223</v>
      </c>
      <c r="Q19" s="66"/>
      <c r="R19" s="56"/>
      <c r="S19" s="56">
        <v>-18</v>
      </c>
      <c r="T19" s="56"/>
      <c r="U19" s="66"/>
      <c r="V19" s="56"/>
      <c r="W19" s="56">
        <v>-119</v>
      </c>
      <c r="X19" s="56"/>
      <c r="Y19" s="56"/>
      <c r="Z19" s="56"/>
      <c r="AA19" s="56">
        <v>-137</v>
      </c>
      <c r="AB19" s="56">
        <v>119</v>
      </c>
      <c r="AC19" s="56"/>
      <c r="AD19" s="56"/>
    </row>
    <row r="20" spans="1:30">
      <c r="A20" s="72" t="s">
        <v>151</v>
      </c>
      <c r="B20" s="54"/>
      <c r="C20" s="74">
        <v>0</v>
      </c>
      <c r="D20" s="100">
        <v>0</v>
      </c>
      <c r="E20" s="97"/>
      <c r="F20" s="54"/>
      <c r="G20" s="74">
        <v>0</v>
      </c>
      <c r="H20" s="87">
        <v>0</v>
      </c>
      <c r="I20" s="66"/>
      <c r="J20" s="56"/>
      <c r="K20" s="77">
        <v>0</v>
      </c>
      <c r="L20" s="87">
        <v>231</v>
      </c>
      <c r="M20" s="66"/>
      <c r="N20" s="56"/>
      <c r="O20" s="77"/>
      <c r="P20" s="76">
        <v>1286</v>
      </c>
      <c r="Q20" s="66"/>
      <c r="R20" s="103"/>
      <c r="S20" s="103"/>
      <c r="T20" s="87">
        <v>8</v>
      </c>
      <c r="U20" s="66"/>
      <c r="V20" s="103"/>
      <c r="W20" s="103"/>
      <c r="X20" s="77">
        <v>9</v>
      </c>
      <c r="Y20" s="56"/>
      <c r="Z20" s="56"/>
      <c r="AA20" s="77">
        <v>0</v>
      </c>
      <c r="AB20" s="87">
        <v>17</v>
      </c>
      <c r="AC20" s="56"/>
      <c r="AD20" s="56"/>
    </row>
    <row r="21" spans="1:30">
      <c r="A21" s="78" t="s">
        <v>152</v>
      </c>
      <c r="B21" s="65"/>
      <c r="C21" s="68">
        <f>SUM(C17:C20)</f>
        <v>-7181.2932302739209</v>
      </c>
      <c r="D21" s="68">
        <f>SUM(D17:D20)</f>
        <v>-3601</v>
      </c>
      <c r="E21" s="97"/>
      <c r="F21" s="65"/>
      <c r="G21" s="68">
        <f>SUM(G17:G20)</f>
        <v>-6179</v>
      </c>
      <c r="H21" s="68">
        <f>SUM(H17:H20)</f>
        <v>-3967</v>
      </c>
      <c r="I21" s="66"/>
      <c r="J21" s="56"/>
      <c r="K21" s="69">
        <f>SUM(K17:K20)</f>
        <v>-5591</v>
      </c>
      <c r="L21" s="69">
        <f>SUM(L17:L20)</f>
        <v>-4895</v>
      </c>
      <c r="M21" s="66"/>
      <c r="N21" s="56"/>
      <c r="O21" s="69">
        <f>SUM(O17:O20)</f>
        <v>-4190</v>
      </c>
      <c r="P21" s="69">
        <f>SUM(P17:P20)</f>
        <v>-3377</v>
      </c>
      <c r="Q21" s="66"/>
      <c r="R21" s="56"/>
      <c r="S21" s="69">
        <v>-3533</v>
      </c>
      <c r="T21" s="69">
        <v>-7565</v>
      </c>
      <c r="U21" s="66"/>
      <c r="V21" s="56"/>
      <c r="W21" s="69">
        <v>-4041</v>
      </c>
      <c r="X21" s="69">
        <v>-9002</v>
      </c>
      <c r="Y21" s="56"/>
      <c r="Z21" s="56"/>
      <c r="AA21" s="69">
        <v>-11584</v>
      </c>
      <c r="AB21" s="69">
        <v>-21095</v>
      </c>
      <c r="AC21" s="56"/>
      <c r="AD21" s="56"/>
    </row>
    <row r="22" spans="1:30">
      <c r="A22" s="81"/>
      <c r="B22" s="56"/>
      <c r="C22" s="71"/>
      <c r="D22" s="71"/>
      <c r="E22" s="95"/>
      <c r="F22" s="56"/>
      <c r="G22" s="71"/>
      <c r="H22" s="56"/>
      <c r="I22" s="58"/>
      <c r="J22" s="56"/>
      <c r="K22" s="56"/>
      <c r="L22" s="56"/>
      <c r="M22" s="58"/>
      <c r="N22" s="103"/>
      <c r="O22" s="103"/>
      <c r="P22" s="58"/>
      <c r="Q22" s="58"/>
      <c r="R22" s="103"/>
      <c r="S22" s="103"/>
      <c r="T22" s="58"/>
      <c r="U22" s="58"/>
      <c r="V22" s="103"/>
      <c r="W22" s="103"/>
      <c r="X22" s="58"/>
      <c r="Y22" s="56"/>
      <c r="Z22" s="103"/>
      <c r="AA22" s="103"/>
      <c r="AB22" s="56"/>
      <c r="AC22" s="56"/>
      <c r="AD22" s="56"/>
    </row>
    <row r="23" spans="1:30">
      <c r="A23" s="64" t="s">
        <v>153</v>
      </c>
      <c r="B23" s="65"/>
      <c r="C23" s="89">
        <f>C21/C12</f>
        <v>-0.98290723289289195</v>
      </c>
      <c r="D23" s="89">
        <f>D21/D12</f>
        <v>-1.4210734017363851</v>
      </c>
      <c r="E23" s="97"/>
      <c r="F23" s="65"/>
      <c r="G23" s="89">
        <f>G21/G12</f>
        <v>-0.87370859676092938</v>
      </c>
      <c r="H23" s="89">
        <f>H21/H12</f>
        <v>-1.4328629483024349</v>
      </c>
      <c r="I23" s="66"/>
      <c r="J23" s="56"/>
      <c r="K23" s="90">
        <f>K21/K12</f>
        <v>-0.79575861087389699</v>
      </c>
      <c r="L23" s="90">
        <f>L21/L12</f>
        <v>-1.2477695641091002</v>
      </c>
      <c r="M23" s="66"/>
      <c r="N23" s="56"/>
      <c r="O23" s="90">
        <f>O21/O12</f>
        <v>-0.85093419983753049</v>
      </c>
      <c r="P23" s="90">
        <f>P21/P12</f>
        <v>-1.7506480041472265</v>
      </c>
      <c r="Q23" s="66"/>
      <c r="R23" s="56"/>
      <c r="S23" s="77">
        <v>-1.39</v>
      </c>
      <c r="T23" s="77">
        <v>-1.21</v>
      </c>
      <c r="U23" s="66"/>
      <c r="V23" s="56"/>
      <c r="W23" s="77">
        <v>-1.46</v>
      </c>
      <c r="X23" s="77">
        <v>-0.8</v>
      </c>
      <c r="Y23" s="56"/>
      <c r="Z23" s="56"/>
      <c r="AA23" s="77">
        <v>-1.1299999999999999</v>
      </c>
      <c r="AB23" s="77">
        <v>-1.0900000000000001</v>
      </c>
      <c r="AC23" s="56"/>
      <c r="AD23" s="56"/>
    </row>
    <row r="24" spans="1:30">
      <c r="A24" s="56"/>
      <c r="B24" s="56"/>
      <c r="D24" s="71"/>
      <c r="E24" s="95"/>
      <c r="F24" s="56"/>
      <c r="H24" s="56"/>
      <c r="I24" s="58"/>
      <c r="J24" s="56"/>
      <c r="K24" s="56"/>
      <c r="L24" s="56"/>
      <c r="M24" s="58"/>
      <c r="N24" s="103"/>
      <c r="O24" s="103"/>
      <c r="P24" s="56"/>
      <c r="Q24" s="58"/>
      <c r="R24" s="103"/>
      <c r="S24" s="103"/>
      <c r="T24" s="56"/>
      <c r="U24" s="58"/>
      <c r="V24" s="103"/>
      <c r="W24" s="103"/>
      <c r="X24" s="58"/>
      <c r="Y24" s="56"/>
      <c r="Z24" s="103"/>
      <c r="AA24" s="103"/>
      <c r="AB24" s="56"/>
      <c r="AC24" s="56"/>
      <c r="AD24" s="56"/>
    </row>
    <row r="25" spans="1:30">
      <c r="A25" s="56"/>
      <c r="B25" s="56"/>
      <c r="D25" s="57"/>
      <c r="E25" s="95"/>
      <c r="F25" s="56"/>
      <c r="H25" s="56"/>
      <c r="I25" s="58"/>
      <c r="J25" s="56"/>
      <c r="K25" s="56"/>
      <c r="L25" s="56"/>
      <c r="M25" s="58"/>
      <c r="N25" s="103"/>
      <c r="O25" s="103"/>
      <c r="P25" s="56"/>
      <c r="Q25" s="58"/>
      <c r="R25" s="103"/>
      <c r="S25" s="103"/>
      <c r="T25" s="56"/>
      <c r="U25" s="58"/>
      <c r="V25" s="103"/>
      <c r="W25" s="103"/>
      <c r="X25" s="58"/>
      <c r="Y25" s="56"/>
      <c r="Z25" s="103"/>
      <c r="AA25" s="103"/>
      <c r="AB25" s="56"/>
      <c r="AC25" s="56"/>
      <c r="AD25" s="56"/>
    </row>
    <row r="26" spans="1:30" ht="18.75">
      <c r="A26" s="59" t="s">
        <v>154</v>
      </c>
      <c r="B26" s="60"/>
      <c r="C26" s="61" t="s">
        <v>127</v>
      </c>
      <c r="D26" s="61" t="s">
        <v>108</v>
      </c>
      <c r="E26" s="91" t="s">
        <v>108</v>
      </c>
      <c r="F26" s="60"/>
      <c r="G26" s="61" t="s">
        <v>127</v>
      </c>
      <c r="H26" s="61" t="s">
        <v>108</v>
      </c>
      <c r="I26" s="91" t="s">
        <v>108</v>
      </c>
      <c r="J26" s="56"/>
      <c r="K26" s="61" t="s">
        <v>108</v>
      </c>
      <c r="L26" s="61" t="s">
        <v>88</v>
      </c>
      <c r="M26" s="91" t="s">
        <v>88</v>
      </c>
      <c r="N26" s="56"/>
      <c r="O26" s="61" t="s">
        <v>108</v>
      </c>
      <c r="P26" s="61" t="s">
        <v>88</v>
      </c>
      <c r="Q26" s="91" t="s">
        <v>88</v>
      </c>
      <c r="R26" s="56"/>
      <c r="S26" s="61" t="s">
        <v>108</v>
      </c>
      <c r="T26" s="61" t="s">
        <v>88</v>
      </c>
      <c r="U26" s="91" t="s">
        <v>88</v>
      </c>
      <c r="V26" s="56"/>
      <c r="W26" s="61" t="s">
        <v>108</v>
      </c>
      <c r="X26" s="61" t="s">
        <v>88</v>
      </c>
      <c r="Y26" s="91" t="s">
        <v>88</v>
      </c>
      <c r="Z26" s="56"/>
      <c r="AA26" s="61" t="s">
        <v>108</v>
      </c>
      <c r="AB26" s="61" t="s">
        <v>88</v>
      </c>
      <c r="AC26" s="91" t="s">
        <v>88</v>
      </c>
      <c r="AD26" s="56"/>
    </row>
    <row r="27" spans="1:30">
      <c r="A27" s="56"/>
      <c r="B27" s="56"/>
      <c r="C27" s="63" t="s">
        <v>5</v>
      </c>
      <c r="D27" s="63" t="s">
        <v>5</v>
      </c>
      <c r="E27" s="93" t="s">
        <v>155</v>
      </c>
      <c r="F27" s="56"/>
      <c r="G27" s="63" t="s">
        <v>4</v>
      </c>
      <c r="H27" s="63" t="s">
        <v>4</v>
      </c>
      <c r="I27" s="58" t="s">
        <v>155</v>
      </c>
      <c r="J27" s="56"/>
      <c r="K27" s="63" t="s">
        <v>3</v>
      </c>
      <c r="L27" s="63" t="s">
        <v>3</v>
      </c>
      <c r="M27" s="58" t="s">
        <v>155</v>
      </c>
      <c r="N27" s="56"/>
      <c r="O27" s="63" t="s">
        <v>2</v>
      </c>
      <c r="P27" s="63" t="s">
        <v>2</v>
      </c>
      <c r="Q27" s="58" t="s">
        <v>155</v>
      </c>
      <c r="R27" s="56"/>
      <c r="S27" s="63" t="s">
        <v>5</v>
      </c>
      <c r="T27" s="63" t="s">
        <v>5</v>
      </c>
      <c r="U27" s="58" t="s">
        <v>155</v>
      </c>
      <c r="V27" s="56"/>
      <c r="W27" s="63" t="s">
        <v>4</v>
      </c>
      <c r="X27" s="63" t="s">
        <v>4</v>
      </c>
      <c r="Y27" s="56" t="s">
        <v>155</v>
      </c>
      <c r="Z27" s="56"/>
      <c r="AA27" s="63" t="s">
        <v>4</v>
      </c>
      <c r="AB27" s="63" t="s">
        <v>4</v>
      </c>
      <c r="AC27" s="56" t="s">
        <v>155</v>
      </c>
      <c r="AD27" s="56"/>
    </row>
    <row r="28" spans="1:30" ht="18.75">
      <c r="A28" s="60"/>
      <c r="B28" s="60"/>
      <c r="C28" s="61" t="s">
        <v>10</v>
      </c>
      <c r="D28" s="61" t="s">
        <v>10</v>
      </c>
      <c r="E28" s="100" t="s">
        <v>156</v>
      </c>
      <c r="F28" s="60"/>
      <c r="G28" s="61" t="s">
        <v>9</v>
      </c>
      <c r="H28" s="61" t="s">
        <v>9</v>
      </c>
      <c r="I28" s="87" t="s">
        <v>156</v>
      </c>
      <c r="J28" s="56"/>
      <c r="K28" s="61" t="s">
        <v>8</v>
      </c>
      <c r="L28" s="61" t="s">
        <v>8</v>
      </c>
      <c r="M28" s="87" t="s">
        <v>156</v>
      </c>
      <c r="N28" s="56"/>
      <c r="O28" s="61" t="s">
        <v>7</v>
      </c>
      <c r="P28" s="61" t="s">
        <v>7</v>
      </c>
      <c r="Q28" s="87" t="s">
        <v>156</v>
      </c>
      <c r="R28" s="56"/>
      <c r="S28" s="61" t="s">
        <v>10</v>
      </c>
      <c r="T28" s="61" t="s">
        <v>10</v>
      </c>
      <c r="U28" s="87" t="s">
        <v>156</v>
      </c>
      <c r="V28" s="56"/>
      <c r="W28" s="61" t="s">
        <v>9</v>
      </c>
      <c r="X28" s="61" t="s">
        <v>9</v>
      </c>
      <c r="Y28" s="77" t="s">
        <v>156</v>
      </c>
      <c r="Z28" s="56"/>
      <c r="AA28" s="61" t="s">
        <v>8</v>
      </c>
      <c r="AB28" s="61" t="s">
        <v>8</v>
      </c>
      <c r="AC28" s="77" t="s">
        <v>156</v>
      </c>
      <c r="AD28" s="56"/>
    </row>
    <row r="29" spans="1:30">
      <c r="A29" s="65" t="s">
        <v>11</v>
      </c>
      <c r="B29" s="65"/>
      <c r="C29" s="3">
        <v>4809</v>
      </c>
      <c r="D29" s="3">
        <v>950</v>
      </c>
      <c r="E29" s="79">
        <v>996</v>
      </c>
      <c r="F29" s="65"/>
      <c r="G29" s="68">
        <v>3505.8989999999999</v>
      </c>
      <c r="H29" s="69">
        <v>1097</v>
      </c>
      <c r="I29" s="79">
        <v>1105</v>
      </c>
      <c r="J29" s="56"/>
      <c r="K29" s="69">
        <v>3997</v>
      </c>
      <c r="L29" s="70">
        <v>1813</v>
      </c>
      <c r="M29" s="70">
        <v>1829</v>
      </c>
      <c r="N29" s="56"/>
      <c r="O29" s="69">
        <v>2357</v>
      </c>
      <c r="P29" s="69">
        <v>1353</v>
      </c>
      <c r="Q29" s="69">
        <v>1365</v>
      </c>
      <c r="R29" s="56"/>
      <c r="S29" s="56">
        <v>950</v>
      </c>
      <c r="T29" s="69">
        <v>3462</v>
      </c>
      <c r="U29" s="69">
        <v>3294</v>
      </c>
      <c r="V29" s="56"/>
      <c r="W29" s="69">
        <v>1097</v>
      </c>
      <c r="X29" s="70">
        <v>7315</v>
      </c>
      <c r="Y29" s="69">
        <v>6966</v>
      </c>
      <c r="Z29" s="56"/>
      <c r="AA29" s="69">
        <v>4404</v>
      </c>
      <c r="AB29" s="69">
        <v>12130</v>
      </c>
      <c r="AC29" s="69">
        <v>11625</v>
      </c>
      <c r="AD29" s="56"/>
    </row>
    <row r="30" spans="1:30">
      <c r="A30" s="56"/>
      <c r="B30" s="56"/>
      <c r="C30" s="68"/>
      <c r="D30" s="98"/>
      <c r="E30" s="79"/>
      <c r="F30" s="56"/>
      <c r="G30" s="68"/>
      <c r="H30" s="70"/>
      <c r="I30" s="79"/>
      <c r="J30" s="56"/>
      <c r="K30" s="69"/>
      <c r="L30" s="70"/>
      <c r="M30" s="70"/>
      <c r="N30" s="103"/>
      <c r="O30" s="103"/>
      <c r="P30" s="58"/>
      <c r="Q30" s="56"/>
      <c r="R30" s="103"/>
      <c r="S30" s="103"/>
      <c r="T30" s="58"/>
      <c r="U30" s="56"/>
      <c r="V30" s="103"/>
      <c r="W30" s="103"/>
      <c r="X30" s="58"/>
      <c r="Y30" s="56"/>
      <c r="Z30" s="103"/>
      <c r="AA30" s="103"/>
      <c r="AB30" s="56"/>
      <c r="AC30" s="56"/>
      <c r="AD30" s="56"/>
    </row>
    <row r="31" spans="1:30">
      <c r="A31" s="78" t="s">
        <v>157</v>
      </c>
      <c r="B31" s="65"/>
      <c r="C31" s="68">
        <v>4604</v>
      </c>
      <c r="D31" s="56">
        <v>739</v>
      </c>
      <c r="E31" s="79">
        <v>739</v>
      </c>
      <c r="F31" s="65"/>
      <c r="G31" s="68">
        <v>3711.79</v>
      </c>
      <c r="H31" s="56">
        <v>804</v>
      </c>
      <c r="I31" s="79">
        <v>804</v>
      </c>
      <c r="J31" s="56"/>
      <c r="K31" s="69">
        <v>3792</v>
      </c>
      <c r="L31" s="69">
        <v>1514</v>
      </c>
      <c r="M31" s="70">
        <v>1514</v>
      </c>
      <c r="N31" s="56"/>
      <c r="O31" s="69">
        <v>2413</v>
      </c>
      <c r="P31" s="56">
        <v>982</v>
      </c>
      <c r="Q31" s="56">
        <v>982</v>
      </c>
      <c r="R31" s="56"/>
      <c r="S31" s="56">
        <v>739</v>
      </c>
      <c r="T31" s="69">
        <v>3398</v>
      </c>
      <c r="U31" s="69">
        <v>3398</v>
      </c>
      <c r="V31" s="56"/>
      <c r="W31" s="56">
        <v>804</v>
      </c>
      <c r="X31" s="69">
        <v>7365</v>
      </c>
      <c r="Y31" s="69">
        <v>7365</v>
      </c>
      <c r="Z31" s="56"/>
      <c r="AA31" s="69">
        <v>3956</v>
      </c>
      <c r="AB31" s="69">
        <v>11746</v>
      </c>
      <c r="AC31" s="69">
        <v>11746</v>
      </c>
      <c r="AD31" s="56"/>
    </row>
    <row r="32" spans="1:30">
      <c r="A32" s="92"/>
      <c r="B32" s="88"/>
      <c r="C32" s="71"/>
      <c r="D32" s="95"/>
      <c r="E32" s="66"/>
      <c r="F32" s="88"/>
      <c r="G32" s="71"/>
      <c r="H32" s="58"/>
      <c r="I32" s="66"/>
      <c r="J32" s="88"/>
      <c r="K32" s="56"/>
      <c r="L32" s="58"/>
      <c r="M32" s="66"/>
      <c r="N32" s="103"/>
      <c r="O32" s="103"/>
      <c r="P32" s="58"/>
      <c r="Q32" s="56"/>
      <c r="R32" s="103"/>
      <c r="S32" s="103"/>
      <c r="T32" s="58"/>
      <c r="U32" s="56"/>
      <c r="V32" s="103"/>
      <c r="W32" s="103"/>
      <c r="X32" s="58"/>
      <c r="Y32" s="56"/>
      <c r="Z32" s="103"/>
      <c r="AA32" s="103"/>
      <c r="AB32" s="56"/>
      <c r="AC32" s="56"/>
      <c r="AD32" s="56"/>
    </row>
    <row r="33" spans="1:30">
      <c r="A33" s="78" t="s">
        <v>158</v>
      </c>
      <c r="B33" s="65"/>
      <c r="C33" s="82">
        <f>C29/C31</f>
        <v>1.0445264986967855</v>
      </c>
      <c r="D33" s="82">
        <f t="shared" ref="D33:E33" si="0">D29/D31</f>
        <v>1.2855209742895806</v>
      </c>
      <c r="E33" s="82">
        <f t="shared" si="0"/>
        <v>1.3477672530446549</v>
      </c>
      <c r="F33" s="101"/>
      <c r="G33" s="82">
        <f>G29/G31</f>
        <v>0.94453053647970386</v>
      </c>
      <c r="H33" s="83">
        <f t="shared" ref="H33:I33" si="1">H29/H31</f>
        <v>1.3644278606965174</v>
      </c>
      <c r="I33" s="82">
        <f t="shared" si="1"/>
        <v>1.3743781094527363</v>
      </c>
      <c r="J33" s="56"/>
      <c r="K33" s="83">
        <f>K29/K31</f>
        <v>1.0540611814345993</v>
      </c>
      <c r="L33" s="83">
        <f t="shared" ref="L33:M33" si="2">L29/L31</f>
        <v>1.1974900924702774</v>
      </c>
      <c r="M33" s="83">
        <f t="shared" si="2"/>
        <v>1.2080581241743724</v>
      </c>
      <c r="N33" s="56"/>
      <c r="O33" s="56">
        <v>0.98</v>
      </c>
      <c r="P33" s="56">
        <v>1.38</v>
      </c>
      <c r="Q33" s="56">
        <v>1.39</v>
      </c>
      <c r="R33" s="56"/>
      <c r="S33" s="56">
        <v>1.29</v>
      </c>
      <c r="T33" s="56">
        <v>1.02</v>
      </c>
      <c r="U33" s="56">
        <v>0.97</v>
      </c>
      <c r="V33" s="56"/>
      <c r="W33" s="56">
        <v>1.36</v>
      </c>
      <c r="X33" s="56">
        <v>0.99</v>
      </c>
      <c r="Y33" s="56">
        <v>0.95</v>
      </c>
      <c r="Z33" s="56"/>
      <c r="AA33" s="56">
        <v>1.1100000000000001</v>
      </c>
      <c r="AB33" s="56">
        <v>1.03</v>
      </c>
      <c r="AC33" s="56">
        <v>0.99</v>
      </c>
      <c r="AD33" s="56"/>
    </row>
    <row r="34" spans="1:30">
      <c r="A34" s="56"/>
      <c r="B34" s="56"/>
      <c r="D34" s="57"/>
      <c r="E34" s="95"/>
      <c r="F34" s="56"/>
      <c r="H34" s="56"/>
      <c r="I34" s="58"/>
      <c r="J34" s="56"/>
      <c r="K34" s="56"/>
      <c r="L34" s="56"/>
      <c r="M34" s="58"/>
      <c r="N34" s="103"/>
      <c r="O34" s="103"/>
      <c r="P34" s="56"/>
      <c r="Q34" s="58"/>
      <c r="R34" s="103"/>
      <c r="S34" s="103"/>
      <c r="T34" s="56"/>
      <c r="U34" s="58"/>
      <c r="V34" s="103"/>
      <c r="W34" s="103"/>
      <c r="X34" s="58"/>
      <c r="Y34" s="56"/>
      <c r="Z34" s="103"/>
      <c r="AA34" s="103"/>
      <c r="AB34" s="56"/>
      <c r="AC34" s="56"/>
      <c r="AD34" s="56"/>
    </row>
    <row r="35" spans="1:30">
      <c r="A35" s="56"/>
      <c r="B35" s="56"/>
      <c r="D35" s="57"/>
      <c r="E35" s="95"/>
      <c r="F35" s="56"/>
      <c r="H35" s="56"/>
      <c r="I35" s="58"/>
      <c r="J35" s="56"/>
      <c r="K35" s="56"/>
      <c r="L35" s="56"/>
      <c r="M35" s="58"/>
      <c r="N35" s="103"/>
      <c r="O35" s="103"/>
      <c r="P35" s="56"/>
      <c r="Q35" s="58"/>
      <c r="R35" s="103"/>
      <c r="S35" s="103"/>
      <c r="T35" s="56"/>
      <c r="U35" s="58"/>
      <c r="V35" s="103"/>
      <c r="W35" s="103"/>
      <c r="X35" s="58"/>
      <c r="Y35" s="56"/>
      <c r="Z35" s="103"/>
      <c r="AA35" s="103"/>
      <c r="AB35" s="56"/>
      <c r="AC35" s="56"/>
      <c r="AD35" s="56"/>
    </row>
    <row r="36" spans="1:30">
      <c r="A36" s="56"/>
      <c r="B36" s="56"/>
      <c r="D36" s="57"/>
      <c r="E36" s="95"/>
      <c r="F36" s="56"/>
      <c r="H36" s="56"/>
      <c r="I36" s="58"/>
      <c r="J36" s="56"/>
      <c r="K36" s="56"/>
      <c r="L36" s="56"/>
      <c r="M36" s="58"/>
      <c r="N36" s="103"/>
      <c r="O36" s="103"/>
      <c r="P36" s="56"/>
      <c r="Q36" s="58"/>
      <c r="R36" s="103"/>
      <c r="S36" s="103"/>
      <c r="T36" s="56"/>
      <c r="U36" s="58"/>
      <c r="V36" s="103"/>
      <c r="W36" s="103"/>
      <c r="X36" s="58"/>
      <c r="Y36" s="56"/>
      <c r="Z36" s="103"/>
      <c r="AA36" s="103"/>
      <c r="AB36" s="56"/>
      <c r="AC36" s="56"/>
      <c r="AD36" s="56"/>
    </row>
    <row r="37" spans="1:30" ht="18.75">
      <c r="A37" s="59" t="s">
        <v>159</v>
      </c>
      <c r="B37" s="60"/>
      <c r="C37" s="61" t="s">
        <v>127</v>
      </c>
      <c r="D37" s="61" t="s">
        <v>108</v>
      </c>
      <c r="E37" s="91" t="s">
        <v>108</v>
      </c>
      <c r="F37" s="60"/>
      <c r="G37" s="61" t="s">
        <v>127</v>
      </c>
      <c r="H37" s="61" t="s">
        <v>108</v>
      </c>
      <c r="I37" s="91" t="s">
        <v>108</v>
      </c>
      <c r="J37" s="56"/>
      <c r="K37" s="61" t="s">
        <v>108</v>
      </c>
      <c r="L37" s="61" t="s">
        <v>88</v>
      </c>
      <c r="M37" s="91" t="s">
        <v>88</v>
      </c>
      <c r="N37" s="56"/>
      <c r="O37" s="61" t="s">
        <v>108</v>
      </c>
      <c r="P37" s="61" t="s">
        <v>88</v>
      </c>
      <c r="Q37" s="91" t="s">
        <v>88</v>
      </c>
      <c r="R37" s="56"/>
      <c r="S37" s="61" t="s">
        <v>108</v>
      </c>
      <c r="T37" s="61" t="s">
        <v>88</v>
      </c>
      <c r="U37" s="91" t="s">
        <v>88</v>
      </c>
      <c r="V37" s="56"/>
      <c r="W37" s="61" t="s">
        <v>108</v>
      </c>
      <c r="X37" s="61" t="s">
        <v>88</v>
      </c>
      <c r="Y37" s="91" t="s">
        <v>88</v>
      </c>
      <c r="Z37" s="56"/>
      <c r="AA37" s="61" t="s">
        <v>108</v>
      </c>
      <c r="AB37" s="61" t="s">
        <v>88</v>
      </c>
      <c r="AC37" s="91" t="s">
        <v>88</v>
      </c>
      <c r="AD37" s="56"/>
    </row>
    <row r="38" spans="1:30">
      <c r="A38" s="56"/>
      <c r="B38" s="56"/>
      <c r="C38" s="63" t="s">
        <v>5</v>
      </c>
      <c r="D38" s="63" t="s">
        <v>5</v>
      </c>
      <c r="E38" s="93" t="s">
        <v>155</v>
      </c>
      <c r="F38" s="56"/>
      <c r="G38" s="63" t="s">
        <v>4</v>
      </c>
      <c r="H38" s="63" t="s">
        <v>4</v>
      </c>
      <c r="I38" s="58" t="s">
        <v>155</v>
      </c>
      <c r="J38" s="56"/>
      <c r="K38" s="63" t="s">
        <v>3</v>
      </c>
      <c r="L38" s="63" t="s">
        <v>3</v>
      </c>
      <c r="M38" s="58" t="s">
        <v>155</v>
      </c>
      <c r="N38" s="56"/>
      <c r="O38" s="63" t="s">
        <v>2</v>
      </c>
      <c r="P38" s="63" t="s">
        <v>2</v>
      </c>
      <c r="Q38" s="58" t="s">
        <v>155</v>
      </c>
      <c r="R38" s="56"/>
      <c r="S38" s="63" t="s">
        <v>5</v>
      </c>
      <c r="T38" s="63" t="s">
        <v>5</v>
      </c>
      <c r="U38" s="58" t="s">
        <v>155</v>
      </c>
      <c r="V38" s="56"/>
      <c r="W38" s="63" t="s">
        <v>4</v>
      </c>
      <c r="X38" s="63" t="s">
        <v>4</v>
      </c>
      <c r="Y38" s="56" t="s">
        <v>155</v>
      </c>
      <c r="Z38" s="56"/>
      <c r="AA38" s="63" t="s">
        <v>4</v>
      </c>
      <c r="AB38" s="63" t="s">
        <v>4</v>
      </c>
      <c r="AC38" s="56" t="s">
        <v>155</v>
      </c>
      <c r="AD38" s="56"/>
    </row>
    <row r="39" spans="1:30" ht="18.75">
      <c r="A39" s="60"/>
      <c r="B39" s="60"/>
      <c r="C39" s="61" t="s">
        <v>10</v>
      </c>
      <c r="D39" s="61" t="s">
        <v>10</v>
      </c>
      <c r="E39" s="100" t="s">
        <v>156</v>
      </c>
      <c r="F39" s="60"/>
      <c r="G39" s="61" t="s">
        <v>9</v>
      </c>
      <c r="H39" s="61" t="s">
        <v>9</v>
      </c>
      <c r="I39" s="87" t="s">
        <v>156</v>
      </c>
      <c r="J39" s="56"/>
      <c r="K39" s="61" t="s">
        <v>8</v>
      </c>
      <c r="L39" s="61" t="s">
        <v>8</v>
      </c>
      <c r="M39" s="87" t="s">
        <v>156</v>
      </c>
      <c r="N39" s="56"/>
      <c r="O39" s="61" t="s">
        <v>7</v>
      </c>
      <c r="P39" s="61" t="s">
        <v>7</v>
      </c>
      <c r="Q39" s="87" t="s">
        <v>156</v>
      </c>
      <c r="R39" s="56"/>
      <c r="S39" s="61" t="s">
        <v>10</v>
      </c>
      <c r="T39" s="61" t="s">
        <v>10</v>
      </c>
      <c r="U39" s="87" t="s">
        <v>156</v>
      </c>
      <c r="V39" s="56"/>
      <c r="W39" s="61" t="s">
        <v>9</v>
      </c>
      <c r="X39" s="61" t="s">
        <v>9</v>
      </c>
      <c r="Y39" s="77" t="s">
        <v>156</v>
      </c>
      <c r="Z39" s="56"/>
      <c r="AA39" s="61" t="s">
        <v>8</v>
      </c>
      <c r="AB39" s="61" t="s">
        <v>8</v>
      </c>
      <c r="AC39" s="77" t="s">
        <v>156</v>
      </c>
      <c r="AD39" s="56"/>
    </row>
    <row r="40" spans="1:30">
      <c r="A40" s="88" t="s">
        <v>11</v>
      </c>
      <c r="B40" s="88"/>
      <c r="C40" s="3">
        <v>4809</v>
      </c>
      <c r="D40" s="3">
        <v>950</v>
      </c>
      <c r="E40" s="79">
        <v>996</v>
      </c>
      <c r="F40" s="88"/>
      <c r="G40" s="68">
        <v>3506</v>
      </c>
      <c r="H40" s="69">
        <v>1097</v>
      </c>
      <c r="I40" s="79">
        <v>1105</v>
      </c>
      <c r="J40" s="56"/>
      <c r="K40" s="69">
        <v>3997</v>
      </c>
      <c r="L40" s="69">
        <v>1813</v>
      </c>
      <c r="M40" s="70">
        <v>1829</v>
      </c>
      <c r="N40" s="56"/>
      <c r="O40" s="69">
        <v>2357</v>
      </c>
      <c r="P40" s="69">
        <v>1353</v>
      </c>
      <c r="Q40" s="69">
        <v>1365</v>
      </c>
      <c r="R40" s="56"/>
      <c r="S40" s="56">
        <v>950</v>
      </c>
      <c r="T40" s="69">
        <v>3462</v>
      </c>
      <c r="U40" s="69">
        <v>3294</v>
      </c>
      <c r="V40" s="56"/>
      <c r="W40" s="69">
        <v>1097</v>
      </c>
      <c r="X40" s="69">
        <v>7315</v>
      </c>
      <c r="Y40" s="69">
        <v>6966</v>
      </c>
      <c r="Z40" s="56"/>
      <c r="AA40" s="69">
        <v>4404</v>
      </c>
      <c r="AB40" s="69">
        <v>12130</v>
      </c>
      <c r="AC40" s="69">
        <v>11625</v>
      </c>
      <c r="AD40" s="56"/>
    </row>
    <row r="41" spans="1:30">
      <c r="A41" s="56"/>
      <c r="B41" s="56"/>
      <c r="C41" s="68"/>
      <c r="D41" s="68"/>
      <c r="E41" s="79"/>
      <c r="F41" s="56"/>
      <c r="G41" s="68"/>
      <c r="H41" s="69"/>
      <c r="I41" s="79"/>
      <c r="J41" s="56"/>
      <c r="K41" s="69"/>
      <c r="L41" s="69"/>
      <c r="M41" s="70"/>
      <c r="N41" s="103"/>
      <c r="O41" s="103"/>
      <c r="P41" s="58"/>
      <c r="Q41" s="56"/>
      <c r="R41" s="103"/>
      <c r="S41" s="103"/>
      <c r="T41" s="58"/>
      <c r="U41" s="56"/>
      <c r="V41" s="103"/>
      <c r="W41" s="103"/>
      <c r="X41" s="58"/>
      <c r="Y41" s="56"/>
      <c r="Z41" s="103"/>
      <c r="AA41" s="103"/>
      <c r="AB41" s="56"/>
      <c r="AC41" s="56"/>
      <c r="AD41" s="56"/>
    </row>
    <row r="42" spans="1:30">
      <c r="A42" s="92" t="s">
        <v>160</v>
      </c>
      <c r="B42" s="88"/>
      <c r="C42" s="68">
        <v>6975</v>
      </c>
      <c r="D42" s="68">
        <v>2521</v>
      </c>
      <c r="E42" s="79">
        <f>D42</f>
        <v>2521</v>
      </c>
      <c r="F42" s="88"/>
      <c r="G42" s="68">
        <v>6744.8760000000002</v>
      </c>
      <c r="H42" s="69">
        <v>2748.0250000000001</v>
      </c>
      <c r="I42" s="79">
        <f>H42</f>
        <v>2748.0250000000001</v>
      </c>
      <c r="J42" s="56"/>
      <c r="K42" s="69">
        <v>6574</v>
      </c>
      <c r="L42" s="69">
        <v>3742</v>
      </c>
      <c r="M42" s="70">
        <v>3782</v>
      </c>
      <c r="N42" s="56"/>
      <c r="O42" s="69">
        <v>4743</v>
      </c>
      <c r="P42" s="70">
        <v>1910</v>
      </c>
      <c r="Q42" s="69">
        <v>1910</v>
      </c>
      <c r="R42" s="56"/>
      <c r="S42" s="69">
        <v>2521</v>
      </c>
      <c r="T42" s="70">
        <v>5906</v>
      </c>
      <c r="U42" s="69">
        <v>5906</v>
      </c>
      <c r="V42" s="56"/>
      <c r="W42" s="69">
        <v>2748</v>
      </c>
      <c r="X42" s="70">
        <v>10759</v>
      </c>
      <c r="Y42" s="69">
        <v>10759</v>
      </c>
      <c r="Z42" s="56"/>
      <c r="AA42" s="69">
        <v>10011</v>
      </c>
      <c r="AB42" s="69">
        <v>18575</v>
      </c>
      <c r="AC42" s="69">
        <v>18575</v>
      </c>
      <c r="AD42" s="56"/>
    </row>
    <row r="43" spans="1:30">
      <c r="A43" s="92"/>
      <c r="B43" s="88"/>
      <c r="C43" s="88"/>
      <c r="D43" s="71"/>
      <c r="E43" s="93"/>
      <c r="F43" s="88"/>
      <c r="G43" s="88"/>
      <c r="H43" s="56"/>
      <c r="I43" s="93"/>
      <c r="J43" s="88"/>
      <c r="K43" s="88"/>
      <c r="L43" s="56"/>
      <c r="M43" s="58"/>
      <c r="N43" s="103"/>
      <c r="O43" s="103"/>
      <c r="P43" s="58"/>
      <c r="Q43" s="56"/>
      <c r="R43" s="103"/>
      <c r="S43" s="103"/>
      <c r="T43" s="58"/>
      <c r="U43" s="56"/>
      <c r="V43" s="103"/>
      <c r="W43" s="103"/>
      <c r="X43" s="58"/>
      <c r="Y43" s="56"/>
      <c r="Z43" s="103"/>
      <c r="AA43" s="103"/>
      <c r="AB43" s="56"/>
      <c r="AC43" s="56"/>
      <c r="AD43" s="56"/>
    </row>
    <row r="44" spans="1:30">
      <c r="A44" s="92" t="s">
        <v>161</v>
      </c>
      <c r="B44" s="88"/>
      <c r="C44" s="82">
        <f>C40/C42</f>
        <v>0.68946236559139784</v>
      </c>
      <c r="D44" s="82">
        <f t="shared" ref="D44:E44" si="3">D40/D42</f>
        <v>0.37683458944863152</v>
      </c>
      <c r="E44" s="82">
        <f t="shared" si="3"/>
        <v>0.39508131693772314</v>
      </c>
      <c r="F44" s="102"/>
      <c r="G44" s="82">
        <f>G40/G42</f>
        <v>0.5198019948772965</v>
      </c>
      <c r="H44" s="83">
        <f t="shared" ref="H44:I44" si="4">H40/H42</f>
        <v>0.39919578606453726</v>
      </c>
      <c r="I44" s="82">
        <f t="shared" si="4"/>
        <v>0.40210696773137072</v>
      </c>
      <c r="J44" s="56"/>
      <c r="K44" s="83">
        <f>K40/K42</f>
        <v>0.60800121691512021</v>
      </c>
      <c r="L44" s="83">
        <f t="shared" ref="L44:M44" si="5">L40/L42</f>
        <v>0.48450026723677175</v>
      </c>
      <c r="M44" s="83">
        <f t="shared" si="5"/>
        <v>0.48360655737704916</v>
      </c>
      <c r="N44" s="56"/>
      <c r="O44" s="56">
        <v>0.5</v>
      </c>
      <c r="P44" s="56">
        <v>0.71</v>
      </c>
      <c r="Q44" s="56">
        <v>0.71</v>
      </c>
      <c r="R44" s="56"/>
      <c r="S44" s="56">
        <v>0.38</v>
      </c>
      <c r="T44" s="56">
        <v>0.59</v>
      </c>
      <c r="U44" s="56">
        <v>0.56000000000000005</v>
      </c>
      <c r="V44" s="56"/>
      <c r="W44" s="56">
        <v>0.4</v>
      </c>
      <c r="X44" s="56">
        <v>0.68</v>
      </c>
      <c r="Y44" s="56">
        <v>0.65</v>
      </c>
      <c r="Z44" s="56"/>
      <c r="AA44" s="56">
        <v>0.44</v>
      </c>
      <c r="AB44" s="56">
        <v>0.65</v>
      </c>
      <c r="AC44" s="58">
        <v>0.63</v>
      </c>
      <c r="AD44" s="56"/>
    </row>
    <row r="45" spans="1:30">
      <c r="A45" s="56"/>
      <c r="B45" s="56"/>
      <c r="D45" s="57"/>
      <c r="E45" s="95"/>
      <c r="F45" s="56"/>
      <c r="H45" s="56"/>
      <c r="I45" s="58"/>
      <c r="J45" s="56"/>
      <c r="K45" s="56"/>
      <c r="L45" s="56"/>
      <c r="M45" s="58"/>
      <c r="N45" s="103"/>
      <c r="O45" s="103"/>
      <c r="P45" s="56"/>
      <c r="Q45" s="58"/>
      <c r="R45" s="103"/>
      <c r="S45" s="103"/>
      <c r="T45" s="56"/>
      <c r="U45" s="58"/>
      <c r="V45" s="103"/>
      <c r="W45" s="103"/>
      <c r="X45" s="58"/>
      <c r="Y45" s="56"/>
      <c r="Z45" s="103"/>
      <c r="AA45" s="103"/>
      <c r="AB45" s="56"/>
      <c r="AC45" s="56"/>
      <c r="AD45" s="56"/>
    </row>
    <row r="46" spans="1:30">
      <c r="A46" s="56"/>
      <c r="B46" s="56"/>
      <c r="D46" s="57"/>
      <c r="E46" s="95"/>
      <c r="F46" s="56"/>
      <c r="H46" s="56"/>
      <c r="I46" s="58"/>
      <c r="J46" s="56"/>
      <c r="K46" s="56"/>
      <c r="L46" s="56"/>
      <c r="M46" s="58"/>
      <c r="N46" s="103"/>
      <c r="O46" s="103"/>
      <c r="P46" s="56"/>
      <c r="Q46" s="58"/>
      <c r="R46" s="103"/>
      <c r="S46" s="103"/>
      <c r="T46" s="56"/>
      <c r="U46" s="58"/>
      <c r="V46" s="103"/>
      <c r="W46" s="103"/>
      <c r="X46" s="58"/>
      <c r="Y46" s="56"/>
      <c r="Z46" s="103"/>
      <c r="AA46" s="103"/>
      <c r="AB46" s="56"/>
      <c r="AC46" s="56"/>
      <c r="AD46" s="56"/>
    </row>
    <row r="47" spans="1:30" ht="18.75">
      <c r="A47" s="59" t="s">
        <v>162</v>
      </c>
      <c r="B47" s="60"/>
      <c r="C47" s="61" t="s">
        <v>127</v>
      </c>
      <c r="D47" s="61" t="s">
        <v>108</v>
      </c>
      <c r="E47" s="91" t="s">
        <v>108</v>
      </c>
      <c r="F47" s="60"/>
      <c r="G47" s="61" t="s">
        <v>127</v>
      </c>
      <c r="H47" s="61" t="s">
        <v>108</v>
      </c>
      <c r="I47" s="91" t="s">
        <v>108</v>
      </c>
      <c r="J47" s="56"/>
      <c r="K47" s="61" t="s">
        <v>108</v>
      </c>
      <c r="L47" s="61" t="s">
        <v>88</v>
      </c>
      <c r="M47" s="91" t="s">
        <v>88</v>
      </c>
      <c r="N47" s="56"/>
      <c r="O47" s="61" t="s">
        <v>108</v>
      </c>
      <c r="P47" s="61" t="s">
        <v>88</v>
      </c>
      <c r="Q47" s="91" t="s">
        <v>88</v>
      </c>
      <c r="R47" s="56"/>
      <c r="S47" s="61" t="s">
        <v>108</v>
      </c>
      <c r="T47" s="61" t="s">
        <v>88</v>
      </c>
      <c r="U47" s="91" t="s">
        <v>88</v>
      </c>
      <c r="V47" s="56"/>
      <c r="W47" s="61" t="s">
        <v>108</v>
      </c>
      <c r="X47" s="61" t="s">
        <v>88</v>
      </c>
      <c r="Y47" s="91" t="s">
        <v>88</v>
      </c>
      <c r="Z47" s="56"/>
      <c r="AA47" s="61" t="s">
        <v>108</v>
      </c>
      <c r="AB47" s="61" t="s">
        <v>88</v>
      </c>
      <c r="AC47" s="91" t="s">
        <v>88</v>
      </c>
      <c r="AD47" s="56"/>
    </row>
    <row r="48" spans="1:30">
      <c r="A48" s="56"/>
      <c r="B48" s="56"/>
      <c r="C48" s="63" t="s">
        <v>5</v>
      </c>
      <c r="D48" s="63" t="s">
        <v>5</v>
      </c>
      <c r="E48" s="93" t="s">
        <v>155</v>
      </c>
      <c r="F48" s="56"/>
      <c r="G48" s="63" t="s">
        <v>4</v>
      </c>
      <c r="H48" s="63" t="s">
        <v>4</v>
      </c>
      <c r="I48" s="58" t="s">
        <v>155</v>
      </c>
      <c r="J48" s="56"/>
      <c r="K48" s="63" t="s">
        <v>3</v>
      </c>
      <c r="L48" s="63" t="s">
        <v>3</v>
      </c>
      <c r="M48" s="58" t="s">
        <v>155</v>
      </c>
      <c r="N48" s="56"/>
      <c r="O48" s="63" t="s">
        <v>2</v>
      </c>
      <c r="P48" s="63" t="s">
        <v>2</v>
      </c>
      <c r="Q48" s="58" t="s">
        <v>155</v>
      </c>
      <c r="R48" s="56"/>
      <c r="S48" s="63" t="s">
        <v>5</v>
      </c>
      <c r="T48" s="63" t="s">
        <v>5</v>
      </c>
      <c r="U48" s="58" t="s">
        <v>155</v>
      </c>
      <c r="V48" s="56"/>
      <c r="W48" s="63" t="s">
        <v>4</v>
      </c>
      <c r="X48" s="63" t="s">
        <v>4</v>
      </c>
      <c r="Y48" s="56" t="s">
        <v>155</v>
      </c>
      <c r="Z48" s="56"/>
      <c r="AA48" s="63" t="s">
        <v>4</v>
      </c>
      <c r="AB48" s="63" t="s">
        <v>4</v>
      </c>
      <c r="AC48" s="56" t="s">
        <v>155</v>
      </c>
      <c r="AD48" s="56"/>
    </row>
    <row r="49" spans="1:30" ht="18.75">
      <c r="A49" s="60"/>
      <c r="B49" s="60"/>
      <c r="C49" s="61" t="s">
        <v>10</v>
      </c>
      <c r="D49" s="61" t="s">
        <v>10</v>
      </c>
      <c r="E49" s="100" t="s">
        <v>156</v>
      </c>
      <c r="F49" s="60"/>
      <c r="G49" s="61" t="s">
        <v>9</v>
      </c>
      <c r="H49" s="61" t="s">
        <v>9</v>
      </c>
      <c r="I49" s="87" t="s">
        <v>156</v>
      </c>
      <c r="J49" s="56"/>
      <c r="K49" s="61" t="s">
        <v>8</v>
      </c>
      <c r="L49" s="61" t="s">
        <v>8</v>
      </c>
      <c r="M49" s="87" t="s">
        <v>156</v>
      </c>
      <c r="N49" s="56"/>
      <c r="O49" s="61" t="s">
        <v>7</v>
      </c>
      <c r="P49" s="61" t="s">
        <v>7</v>
      </c>
      <c r="Q49" s="87" t="s">
        <v>156</v>
      </c>
      <c r="R49" s="56"/>
      <c r="S49" s="61" t="s">
        <v>10</v>
      </c>
      <c r="T49" s="61" t="s">
        <v>10</v>
      </c>
      <c r="U49" s="87" t="s">
        <v>156</v>
      </c>
      <c r="V49" s="56"/>
      <c r="W49" s="61" t="s">
        <v>9</v>
      </c>
      <c r="X49" s="61" t="s">
        <v>9</v>
      </c>
      <c r="Y49" s="77" t="s">
        <v>156</v>
      </c>
      <c r="Z49" s="56"/>
      <c r="AA49" s="61" t="s">
        <v>8</v>
      </c>
      <c r="AB49" s="61" t="s">
        <v>8</v>
      </c>
      <c r="AC49" s="77" t="s">
        <v>156</v>
      </c>
      <c r="AD49" s="56"/>
    </row>
    <row r="50" spans="1:30">
      <c r="A50" s="88" t="s">
        <v>11</v>
      </c>
      <c r="B50" s="88"/>
      <c r="C50" s="3">
        <v>4809</v>
      </c>
      <c r="D50" s="3">
        <v>950</v>
      </c>
      <c r="E50" s="79">
        <v>997</v>
      </c>
      <c r="F50" s="88"/>
      <c r="G50" s="68">
        <v>3506</v>
      </c>
      <c r="H50" s="69">
        <v>1097</v>
      </c>
      <c r="I50" s="79">
        <v>1105</v>
      </c>
      <c r="J50" s="56"/>
      <c r="K50" s="69">
        <f>K40</f>
        <v>3997</v>
      </c>
      <c r="L50" s="56">
        <v>1813</v>
      </c>
      <c r="M50" s="69">
        <f>M40</f>
        <v>1829</v>
      </c>
      <c r="N50" s="56"/>
      <c r="O50" s="69">
        <v>2357</v>
      </c>
      <c r="P50" s="69">
        <v>1353</v>
      </c>
      <c r="Q50" s="66"/>
      <c r="R50" s="56"/>
      <c r="S50" s="56">
        <v>950</v>
      </c>
      <c r="T50" s="69">
        <v>3462</v>
      </c>
      <c r="U50" s="56"/>
      <c r="V50" s="56"/>
      <c r="W50" s="69">
        <v>1097</v>
      </c>
      <c r="X50" s="69">
        <v>7315</v>
      </c>
      <c r="Y50" s="56"/>
      <c r="Z50" s="56"/>
      <c r="AA50" s="69">
        <v>4404</v>
      </c>
      <c r="AB50" s="69">
        <v>12130</v>
      </c>
      <c r="AC50" s="56"/>
      <c r="AD50" s="56"/>
    </row>
    <row r="51" spans="1:30">
      <c r="A51" s="88" t="s">
        <v>12</v>
      </c>
      <c r="B51" s="88"/>
      <c r="C51" s="68">
        <v>187</v>
      </c>
      <c r="D51" s="71">
        <v>3</v>
      </c>
      <c r="E51" s="68">
        <v>3</v>
      </c>
      <c r="F51" s="88"/>
      <c r="G51" s="68">
        <v>168</v>
      </c>
      <c r="H51" s="56">
        <v>9</v>
      </c>
      <c r="I51" s="68">
        <v>9</v>
      </c>
      <c r="J51" s="56"/>
      <c r="K51" s="69">
        <f>'[1]Income Statement'!J8</f>
        <v>267</v>
      </c>
      <c r="L51" s="69">
        <f>'[1]Income Statement'!E8</f>
        <v>88</v>
      </c>
      <c r="M51" s="69">
        <v>161</v>
      </c>
      <c r="N51" s="56"/>
      <c r="O51" s="56">
        <v>105</v>
      </c>
      <c r="P51" s="56">
        <v>30</v>
      </c>
      <c r="Q51" s="66"/>
      <c r="R51" s="56"/>
      <c r="S51" s="56">
        <v>3</v>
      </c>
      <c r="T51" s="56">
        <v>201</v>
      </c>
      <c r="U51" s="56"/>
      <c r="V51" s="56"/>
      <c r="W51" s="56">
        <v>9</v>
      </c>
      <c r="X51" s="56">
        <v>245</v>
      </c>
      <c r="Y51" s="56"/>
      <c r="Z51" s="56"/>
      <c r="AA51" s="56">
        <v>117</v>
      </c>
      <c r="AB51" s="56">
        <v>476</v>
      </c>
      <c r="AC51" s="56"/>
      <c r="AD51" s="56"/>
    </row>
    <row r="52" spans="1:30">
      <c r="A52" s="88" t="s">
        <v>128</v>
      </c>
      <c r="B52" s="88"/>
      <c r="C52" s="68">
        <v>424</v>
      </c>
      <c r="D52" s="71">
        <v>282</v>
      </c>
      <c r="E52" s="68">
        <v>294</v>
      </c>
      <c r="F52" s="88"/>
      <c r="G52" s="68">
        <v>464</v>
      </c>
      <c r="H52" s="56">
        <v>231</v>
      </c>
      <c r="I52" s="68">
        <v>225</v>
      </c>
      <c r="J52" s="56"/>
      <c r="K52" s="69">
        <f>'[1]Income Statement'!J9</f>
        <v>350</v>
      </c>
      <c r="L52" s="69">
        <f>'[1]Income Statement'!E9</f>
        <v>163</v>
      </c>
      <c r="M52" s="69">
        <v>86</v>
      </c>
      <c r="N52" s="56"/>
      <c r="O52" s="56">
        <v>303</v>
      </c>
      <c r="P52" s="56">
        <v>188</v>
      </c>
      <c r="Q52" s="66"/>
      <c r="R52" s="56"/>
      <c r="S52" s="56">
        <v>282</v>
      </c>
      <c r="T52" s="56">
        <v>160</v>
      </c>
      <c r="U52" s="56"/>
      <c r="V52" s="56"/>
      <c r="W52" s="56">
        <v>231</v>
      </c>
      <c r="X52" s="56">
        <v>366</v>
      </c>
      <c r="Y52" s="56"/>
      <c r="Z52" s="56"/>
      <c r="AA52" s="56">
        <v>816</v>
      </c>
      <c r="AB52" s="56">
        <v>714</v>
      </c>
      <c r="AC52" s="56"/>
      <c r="AD52" s="56"/>
    </row>
    <row r="53" spans="1:30">
      <c r="A53" s="88" t="s">
        <v>13</v>
      </c>
      <c r="B53" s="88"/>
      <c r="C53" s="73">
        <v>807</v>
      </c>
      <c r="D53" s="74">
        <v>229</v>
      </c>
      <c r="E53" s="73">
        <v>241</v>
      </c>
      <c r="F53" s="88"/>
      <c r="G53" s="73">
        <v>686</v>
      </c>
      <c r="H53" s="77">
        <v>400</v>
      </c>
      <c r="I53" s="73">
        <v>403</v>
      </c>
      <c r="J53" s="56"/>
      <c r="K53" s="75">
        <f>'[1]Income Statement'!J10</f>
        <v>497</v>
      </c>
      <c r="L53" s="75">
        <f>'[1]Income Statement'!E10</f>
        <v>366</v>
      </c>
      <c r="M53" s="75">
        <v>370</v>
      </c>
      <c r="N53" s="56"/>
      <c r="O53" s="77">
        <v>487</v>
      </c>
      <c r="P53" s="77">
        <v>228</v>
      </c>
      <c r="Q53" s="66"/>
      <c r="R53" s="56"/>
      <c r="S53" s="77">
        <v>229</v>
      </c>
      <c r="T53" s="77">
        <v>553</v>
      </c>
      <c r="U53" s="77"/>
      <c r="V53" s="56"/>
      <c r="W53" s="77">
        <v>400</v>
      </c>
      <c r="X53" s="77">
        <v>671</v>
      </c>
      <c r="Y53" s="77"/>
      <c r="Z53" s="56"/>
      <c r="AA53" s="75">
        <v>1116</v>
      </c>
      <c r="AB53" s="75">
        <v>1452</v>
      </c>
      <c r="AC53" s="77"/>
      <c r="AD53" s="56"/>
    </row>
    <row r="54" spans="1:30">
      <c r="A54" s="94" t="s">
        <v>163</v>
      </c>
      <c r="B54" s="88"/>
      <c r="C54" s="68">
        <f>SUM(C50:C53)</f>
        <v>6227</v>
      </c>
      <c r="D54" s="68">
        <f t="shared" ref="D54:E54" si="6">SUM(D50:D53)</f>
        <v>1464</v>
      </c>
      <c r="E54" s="68">
        <f t="shared" si="6"/>
        <v>1535</v>
      </c>
      <c r="F54" s="88"/>
      <c r="G54" s="68">
        <f>SUM(G50:G53)</f>
        <v>4824</v>
      </c>
      <c r="H54" s="68">
        <f t="shared" ref="H54:I54" si="7">SUM(H50:H53)</f>
        <v>1737</v>
      </c>
      <c r="I54" s="68">
        <f t="shared" si="7"/>
        <v>1742</v>
      </c>
      <c r="J54" s="56"/>
      <c r="K54" s="69">
        <f>SUM(K50:K53)</f>
        <v>5111</v>
      </c>
      <c r="L54" s="69">
        <f>SUM(L50:L53)</f>
        <v>2430</v>
      </c>
      <c r="M54" s="69">
        <f>SUM(M50:M53)</f>
        <v>2446</v>
      </c>
      <c r="N54" s="56"/>
      <c r="O54" s="69">
        <v>3252</v>
      </c>
      <c r="P54" s="69">
        <v>1799</v>
      </c>
      <c r="Q54" s="69">
        <v>1812</v>
      </c>
      <c r="R54" s="56"/>
      <c r="S54" s="69">
        <v>1464</v>
      </c>
      <c r="T54" s="69">
        <v>4376</v>
      </c>
      <c r="U54" s="69">
        <v>4172</v>
      </c>
      <c r="V54" s="56"/>
      <c r="W54" s="69">
        <v>1737</v>
      </c>
      <c r="X54" s="69">
        <v>8597</v>
      </c>
      <c r="Y54" s="69">
        <v>8184</v>
      </c>
      <c r="Z54" s="56"/>
      <c r="AA54" s="69">
        <v>6453</v>
      </c>
      <c r="AB54" s="69">
        <v>14772</v>
      </c>
      <c r="AC54" s="69">
        <v>14167</v>
      </c>
      <c r="AD54" s="56"/>
    </row>
    <row r="55" spans="1:30">
      <c r="A55" s="56"/>
      <c r="B55" s="56"/>
      <c r="C55" s="71"/>
      <c r="D55" s="71"/>
      <c r="E55" s="93"/>
      <c r="F55" s="56"/>
      <c r="H55" s="56"/>
      <c r="I55" s="95"/>
      <c r="J55" s="56"/>
      <c r="K55" s="56"/>
      <c r="L55" s="56"/>
      <c r="M55" s="58"/>
      <c r="N55" s="103"/>
      <c r="O55" s="103"/>
      <c r="P55" s="58"/>
      <c r="Q55" s="56"/>
      <c r="R55" s="103"/>
      <c r="S55" s="103"/>
      <c r="T55" s="58"/>
      <c r="U55" s="56"/>
      <c r="V55" s="103"/>
      <c r="W55" s="103"/>
      <c r="X55" s="58"/>
      <c r="Y55" s="56"/>
      <c r="Z55" s="103"/>
      <c r="AA55" s="103"/>
      <c r="AB55" s="56"/>
      <c r="AC55" s="56"/>
      <c r="AD55" s="56"/>
    </row>
    <row r="56" spans="1:30">
      <c r="A56" s="92" t="s">
        <v>164</v>
      </c>
      <c r="B56" s="88"/>
      <c r="C56" s="68">
        <f>C12</f>
        <v>7306.1759949999996</v>
      </c>
      <c r="D56" s="68">
        <f>D12</f>
        <v>2534</v>
      </c>
      <c r="E56" s="68">
        <f>D56</f>
        <v>2534</v>
      </c>
      <c r="F56" s="88"/>
      <c r="G56" s="68">
        <f>G12</f>
        <v>7072.152</v>
      </c>
      <c r="H56" s="68">
        <f>H12</f>
        <v>2768.5830000000001</v>
      </c>
      <c r="I56" s="68">
        <f>H56</f>
        <v>2768.5830000000001</v>
      </c>
      <c r="J56" s="56"/>
      <c r="K56" s="69">
        <f>K12</f>
        <v>7026</v>
      </c>
      <c r="L56" s="69">
        <f>L12</f>
        <v>3923</v>
      </c>
      <c r="M56" s="56">
        <v>3923</v>
      </c>
      <c r="N56" s="56"/>
      <c r="O56" s="69">
        <v>4924</v>
      </c>
      <c r="P56" s="69">
        <v>1929</v>
      </c>
      <c r="Q56" s="69">
        <v>1929</v>
      </c>
      <c r="R56" s="56"/>
      <c r="S56" s="69">
        <v>2534</v>
      </c>
      <c r="T56" s="69">
        <v>6256</v>
      </c>
      <c r="U56" s="69">
        <v>6256</v>
      </c>
      <c r="V56" s="56"/>
      <c r="W56" s="69">
        <v>2769</v>
      </c>
      <c r="X56" s="69">
        <v>11258</v>
      </c>
      <c r="Y56" s="69">
        <v>11258</v>
      </c>
      <c r="Z56" s="56"/>
      <c r="AA56" s="69">
        <v>10227</v>
      </c>
      <c r="AB56" s="69">
        <v>19442</v>
      </c>
      <c r="AC56" s="69">
        <v>19442</v>
      </c>
      <c r="AD56" s="56"/>
    </row>
    <row r="57" spans="1:30">
      <c r="A57" s="92"/>
      <c r="B57" s="88"/>
      <c r="C57" s="88"/>
      <c r="D57" s="88"/>
      <c r="E57" s="66"/>
      <c r="F57" s="88"/>
      <c r="G57" s="96"/>
      <c r="H57" s="88"/>
      <c r="I57" s="97"/>
      <c r="J57" s="88"/>
      <c r="K57" s="88"/>
      <c r="L57" s="88"/>
      <c r="M57" s="66"/>
      <c r="N57" s="103"/>
      <c r="O57" s="103"/>
      <c r="P57" s="58"/>
      <c r="Q57" s="56"/>
      <c r="R57" s="103"/>
      <c r="S57" s="103"/>
      <c r="T57" s="58"/>
      <c r="U57" s="56"/>
      <c r="V57" s="103"/>
      <c r="W57" s="103"/>
      <c r="X57" s="58"/>
      <c r="Y57" s="56"/>
      <c r="Z57" s="103"/>
      <c r="AA57" s="103"/>
      <c r="AB57" s="56"/>
      <c r="AC57" s="56"/>
      <c r="AD57" s="56"/>
    </row>
    <row r="58" spans="1:30">
      <c r="A58" s="92" t="s">
        <v>165</v>
      </c>
      <c r="B58" s="88"/>
      <c r="C58" s="82">
        <f>C54/C56</f>
        <v>0.85229263629311192</v>
      </c>
      <c r="D58" s="82">
        <f>D54/D56</f>
        <v>0.5777426992896606</v>
      </c>
      <c r="E58" s="82">
        <f>E54/E56</f>
        <v>0.60576164167324387</v>
      </c>
      <c r="F58" s="102"/>
      <c r="G58" s="82">
        <f>G54/G56</f>
        <v>0.68211203605352377</v>
      </c>
      <c r="H58" s="82">
        <f>H54/H56</f>
        <v>0.62739675855843946</v>
      </c>
      <c r="I58" s="82">
        <f>I54/I56</f>
        <v>0.62920273656234971</v>
      </c>
      <c r="J58" s="56"/>
      <c r="K58" s="83">
        <f>K54/K56</f>
        <v>0.72744093367492169</v>
      </c>
      <c r="L58" s="83">
        <f>L54/L56</f>
        <v>0.61942391027275046</v>
      </c>
      <c r="M58" s="83">
        <f>M54/M56</f>
        <v>0.62350242161611014</v>
      </c>
      <c r="N58" s="56"/>
      <c r="O58" s="56">
        <v>0.66</v>
      </c>
      <c r="P58" s="56">
        <v>0.93</v>
      </c>
      <c r="Q58" s="56">
        <v>0.94</v>
      </c>
      <c r="R58" s="56"/>
      <c r="S58" s="56">
        <v>0.57999999999999996</v>
      </c>
      <c r="T58" s="56">
        <v>0.7</v>
      </c>
      <c r="U58" s="56">
        <v>0.67</v>
      </c>
      <c r="V58" s="56"/>
      <c r="W58" s="56">
        <v>0.63</v>
      </c>
      <c r="X58" s="56">
        <v>0.76</v>
      </c>
      <c r="Y58" s="56">
        <v>0.73</v>
      </c>
      <c r="Z58" s="56"/>
      <c r="AA58" s="56">
        <v>0.63</v>
      </c>
      <c r="AB58" s="56">
        <v>0.76</v>
      </c>
      <c r="AC58" s="56">
        <v>0.73</v>
      </c>
      <c r="AD58" s="56"/>
    </row>
    <row r="59" spans="1:30">
      <c r="A59" s="56"/>
      <c r="B59" s="56"/>
      <c r="D59" s="56"/>
      <c r="E59" s="58"/>
      <c r="F59" s="56"/>
      <c r="H59" s="56"/>
      <c r="I59" s="58"/>
      <c r="J59" s="56"/>
      <c r="K59" s="56"/>
      <c r="L59" s="56"/>
      <c r="M59" s="58"/>
      <c r="N59" s="103"/>
      <c r="O59" s="103"/>
      <c r="P59" s="56"/>
      <c r="Q59" s="58"/>
      <c r="R59" s="103"/>
      <c r="S59" s="103"/>
      <c r="T59" s="56"/>
      <c r="U59" s="56"/>
      <c r="V59" s="103"/>
      <c r="W59" s="103"/>
      <c r="X59" s="58"/>
      <c r="Y59" s="56"/>
      <c r="Z59" s="103"/>
      <c r="AA59" s="103"/>
      <c r="AB59" s="56"/>
      <c r="AC59" s="56"/>
      <c r="AD59" s="56"/>
    </row>
    <row r="60" spans="1:30">
      <c r="A60" s="56"/>
      <c r="B60" s="56"/>
      <c r="D60" s="56"/>
      <c r="E60" s="58"/>
      <c r="F60" s="56"/>
      <c r="H60" s="56"/>
      <c r="I60" s="58"/>
      <c r="J60" s="56"/>
      <c r="K60" s="56"/>
      <c r="L60" s="56"/>
      <c r="M60" s="58"/>
      <c r="N60" s="103"/>
      <c r="O60" s="103"/>
      <c r="P60" s="56"/>
      <c r="Q60" s="58"/>
      <c r="R60" s="103"/>
      <c r="S60" s="103"/>
      <c r="T60" s="56"/>
      <c r="U60" s="56"/>
      <c r="V60" s="103"/>
      <c r="W60" s="103"/>
      <c r="X60" s="58"/>
      <c r="Y60" s="56"/>
      <c r="Z60" s="103"/>
      <c r="AA60" s="103"/>
      <c r="AB60" s="56"/>
      <c r="AC60" s="56"/>
      <c r="AD60" s="56"/>
    </row>
    <row r="61" spans="1:30">
      <c r="A61" s="56"/>
      <c r="B61" s="56"/>
      <c r="D61" s="56"/>
      <c r="E61" s="58"/>
      <c r="F61" s="56"/>
      <c r="H61" s="56"/>
      <c r="I61" s="58"/>
      <c r="J61" s="56"/>
      <c r="K61" s="56"/>
      <c r="L61" s="56"/>
      <c r="M61" s="58"/>
      <c r="N61" s="103"/>
      <c r="O61" s="103"/>
      <c r="P61" s="56"/>
      <c r="Q61" s="58"/>
      <c r="R61" s="103"/>
      <c r="S61" s="103"/>
      <c r="T61" s="56"/>
      <c r="U61" s="56"/>
      <c r="V61" s="103"/>
      <c r="W61" s="103"/>
      <c r="X61" s="58"/>
      <c r="Y61" s="56"/>
      <c r="Z61" s="103"/>
      <c r="AA61" s="103"/>
      <c r="AB61" s="56"/>
      <c r="AC61" s="56"/>
      <c r="AD61" s="56"/>
    </row>
  </sheetData>
  <mergeCells count="96">
    <mergeCell ref="N1:O1"/>
    <mergeCell ref="R1:S1"/>
    <mergeCell ref="V1:W1"/>
    <mergeCell ref="Z1:AA1"/>
    <mergeCell ref="N2:O2"/>
    <mergeCell ref="R2:S2"/>
    <mergeCell ref="V2:W2"/>
    <mergeCell ref="N11:O11"/>
    <mergeCell ref="R11:S11"/>
    <mergeCell ref="V11:W11"/>
    <mergeCell ref="Z11:AA11"/>
    <mergeCell ref="N14:O14"/>
    <mergeCell ref="R14:S14"/>
    <mergeCell ref="V14:W14"/>
    <mergeCell ref="Z14:AA14"/>
    <mergeCell ref="N15:O15"/>
    <mergeCell ref="R15:S15"/>
    <mergeCell ref="V15:W15"/>
    <mergeCell ref="Z15:AA15"/>
    <mergeCell ref="N16:O16"/>
    <mergeCell ref="R16:S16"/>
    <mergeCell ref="V16:W16"/>
    <mergeCell ref="Z16:AA16"/>
    <mergeCell ref="N22:O22"/>
    <mergeCell ref="R22:S22"/>
    <mergeCell ref="V22:W22"/>
    <mergeCell ref="Z22:AA22"/>
    <mergeCell ref="N24:O24"/>
    <mergeCell ref="R24:S24"/>
    <mergeCell ref="V24:W24"/>
    <mergeCell ref="N18:O18"/>
    <mergeCell ref="R18:S18"/>
    <mergeCell ref="V18:W18"/>
    <mergeCell ref="R20:S20"/>
    <mergeCell ref="V20:W20"/>
    <mergeCell ref="Z24:AA24"/>
    <mergeCell ref="N30:O30"/>
    <mergeCell ref="R30:S30"/>
    <mergeCell ref="V30:W30"/>
    <mergeCell ref="Z30:AA30"/>
    <mergeCell ref="N25:O25"/>
    <mergeCell ref="R25:S25"/>
    <mergeCell ref="V25:W25"/>
    <mergeCell ref="Z25:AA25"/>
    <mergeCell ref="N32:O32"/>
    <mergeCell ref="R32:S32"/>
    <mergeCell ref="V32:W32"/>
    <mergeCell ref="Z32:AA32"/>
    <mergeCell ref="N34:O34"/>
    <mergeCell ref="R34:S34"/>
    <mergeCell ref="V34:W34"/>
    <mergeCell ref="Z34:AA34"/>
    <mergeCell ref="N35:O35"/>
    <mergeCell ref="R35:S35"/>
    <mergeCell ref="V35:W35"/>
    <mergeCell ref="Z35:AA35"/>
    <mergeCell ref="N36:O36"/>
    <mergeCell ref="R36:S36"/>
    <mergeCell ref="V36:W36"/>
    <mergeCell ref="Z36:AA36"/>
    <mergeCell ref="N41:O41"/>
    <mergeCell ref="R41:S41"/>
    <mergeCell ref="V41:W41"/>
    <mergeCell ref="Z41:AA41"/>
    <mergeCell ref="N43:O43"/>
    <mergeCell ref="R43:S43"/>
    <mergeCell ref="V43:W43"/>
    <mergeCell ref="Z43:AA43"/>
    <mergeCell ref="N45:O45"/>
    <mergeCell ref="R45:S45"/>
    <mergeCell ref="V45:W45"/>
    <mergeCell ref="Z45:AA45"/>
    <mergeCell ref="N46:O46"/>
    <mergeCell ref="R46:S46"/>
    <mergeCell ref="V46:W46"/>
    <mergeCell ref="Z46:AA46"/>
    <mergeCell ref="N55:O55"/>
    <mergeCell ref="R55:S55"/>
    <mergeCell ref="V55:W55"/>
    <mergeCell ref="Z55:AA55"/>
    <mergeCell ref="N57:O57"/>
    <mergeCell ref="R57:S57"/>
    <mergeCell ref="V57:W57"/>
    <mergeCell ref="Z57:AA57"/>
    <mergeCell ref="N61:O61"/>
    <mergeCell ref="R61:S61"/>
    <mergeCell ref="V61:W61"/>
    <mergeCell ref="Z61:AA61"/>
    <mergeCell ref="N59:O59"/>
    <mergeCell ref="R59:S59"/>
    <mergeCell ref="V59:W59"/>
    <mergeCell ref="Z59:AA59"/>
    <mergeCell ref="N60:O60"/>
    <mergeCell ref="R60:S60"/>
    <mergeCell ref="V60:W60"/>
    <mergeCell ref="Z60:AA6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CEP75RKCEUZV-1429125831-56642</_dlc_DocId>
    <_dlc_DocIdUrl xmlns="9415a8b7-dc6c-4703-921b-c3bd40dfa113">
      <Url>https://scandinavianairlinessystem.sharepoint.com/sites/S01628/_layouts/15/DocIdRedir.aspx?ID=CEP75RKCEUZV-1429125831-56642</Url>
      <Description>CEP75RKCEUZV-1429125831-56642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1" ma:contentTypeDescription="Create a new document." ma:contentTypeScope="" ma:versionID="81cff8f5a453d733df80d86d4c124ef8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241b01e174e77f59453dd53a34f5ca23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816EE-E07B-4E54-9251-0F9B43C2D83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AEF24E0-0BC4-464C-83C3-16A05863404B}">
  <ds:schemaRefs>
    <ds:schemaRef ds:uri="9415a8b7-dc6c-4703-921b-c3bd40dfa11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e2b8da78-8c70-4e54-8e3f-3e64575ae98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02FFAD3-E5F6-4820-9AFE-4F36B536B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</vt:lpstr>
      <vt:lpstr>Balance Sheet</vt:lpstr>
      <vt:lpstr>Cash-Flow</vt:lpstr>
      <vt:lpstr>CASK, Yield, PASK &amp; RASK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Bergström, Louise (STOUX)</cp:lastModifiedBy>
  <cp:revision/>
  <dcterms:created xsi:type="dcterms:W3CDTF">2009-07-29T11:57:43Z</dcterms:created>
  <dcterms:modified xsi:type="dcterms:W3CDTF">2022-05-30T20:06:54Z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4dbf3b55-f5c6-46be-9030-b213ebc4058c</vt:lpwstr>
  </property>
  <property fmtid="{D5CDD505-2E9C-101B-9397-08002B2CF9AE}" pid="9" name="SV_HIDDEN_GRID_QUERY_LIST_4F35BF76-6C0D-4D9B-82B2-816C12CF3733">
    <vt:lpwstr>empty_477D106A-C0D6-4607-AEBD-E2C9D60EA279</vt:lpwstr>
  </property>
</Properties>
</file>