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2316\Documents\2022\2022\News2022\Aug22\Q3 2022\"/>
    </mc:Choice>
  </mc:AlternateContent>
  <xr:revisionPtr revIDLastSave="0" documentId="8_{580C151B-615F-42DA-B37E-19E1E47101A3}" xr6:coauthVersionLast="47" xr6:coauthVersionMax="47" xr10:uidLastSave="{00000000-0000-0000-0000-000000000000}"/>
  <bookViews>
    <workbookView xWindow="28680" yWindow="-120" windowWidth="29040" windowHeight="15840" activeTab="3" xr2:uid="{00000000-000D-0000-FFFF-FFFF00000000}"/>
  </bookViews>
  <sheets>
    <sheet name="Income Statement" sheetId="1" r:id="rId1"/>
    <sheet name="Balance Sheet" sheetId="3" r:id="rId2"/>
    <sheet name="Cash-Flow" sheetId="2" r:id="rId3"/>
    <sheet name="CASK, Yield, PASK &amp; RASK" sheetId="4" r:id="rId4"/>
  </sheets>
  <externalReferences>
    <externalReference r:id="rId5"/>
    <externalReference r:id="rId6"/>
  </externalReferences>
  <definedNames>
    <definedName name="_xlnm.Print_Titles" localSheetId="0">'Income Statement'!$1:$1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4" l="1"/>
  <c r="D6" i="4" s="1"/>
  <c r="C8" i="4"/>
  <c r="C6" i="4" s="1"/>
  <c r="D50" i="4" l="1"/>
  <c r="E50" i="4"/>
  <c r="C50" i="4"/>
  <c r="E40" i="4"/>
  <c r="C40" i="4"/>
  <c r="D40" i="4"/>
  <c r="C9" i="4"/>
  <c r="D56" i="4" l="1"/>
  <c r="E56" i="4" s="1"/>
  <c r="C56" i="4"/>
  <c r="E54" i="4"/>
  <c r="D54" i="4"/>
  <c r="D58" i="4" s="1"/>
  <c r="C54" i="4"/>
  <c r="D44" i="4"/>
  <c r="C44" i="4"/>
  <c r="E42" i="4"/>
  <c r="E44" i="4" s="1"/>
  <c r="E33" i="4"/>
  <c r="D33" i="4"/>
  <c r="C33" i="4"/>
  <c r="D10" i="4"/>
  <c r="D17" i="4" s="1"/>
  <c r="C10" i="4"/>
  <c r="K6" i="4"/>
  <c r="L6" i="4"/>
  <c r="O6" i="4"/>
  <c r="O10" i="4" s="1"/>
  <c r="P6" i="4"/>
  <c r="O7" i="4"/>
  <c r="P7" i="4"/>
  <c r="G8" i="4"/>
  <c r="G10" i="4" s="1"/>
  <c r="H8" i="4"/>
  <c r="H10" i="4" s="1"/>
  <c r="O8" i="4"/>
  <c r="P8" i="4"/>
  <c r="O9" i="4"/>
  <c r="P9" i="4"/>
  <c r="K10" i="4"/>
  <c r="K17" i="4" s="1"/>
  <c r="K21" i="4" s="1"/>
  <c r="K23" i="4" s="1"/>
  <c r="L10" i="4"/>
  <c r="L17" i="4" s="1"/>
  <c r="S21" i="4"/>
  <c r="S23" i="4" s="1"/>
  <c r="T21" i="4"/>
  <c r="T23" i="4" s="1"/>
  <c r="G33" i="4"/>
  <c r="H33" i="4"/>
  <c r="I33" i="4"/>
  <c r="K33" i="4"/>
  <c r="L33" i="4"/>
  <c r="M33" i="4"/>
  <c r="O33" i="4"/>
  <c r="P33" i="4"/>
  <c r="Q33" i="4"/>
  <c r="I42" i="4"/>
  <c r="I44" i="4" s="1"/>
  <c r="M42" i="4"/>
  <c r="M44" i="4" s="1"/>
  <c r="G44" i="4"/>
  <c r="H44" i="4"/>
  <c r="K44" i="4"/>
  <c r="L44" i="4"/>
  <c r="O44" i="4"/>
  <c r="P44" i="4"/>
  <c r="Q44" i="4"/>
  <c r="O50" i="4"/>
  <c r="Q50" i="4"/>
  <c r="Q54" i="4" s="1"/>
  <c r="Q58" i="4" s="1"/>
  <c r="O51" i="4"/>
  <c r="P51" i="4"/>
  <c r="O52" i="4"/>
  <c r="P52" i="4"/>
  <c r="O53" i="4"/>
  <c r="P53" i="4"/>
  <c r="G54" i="4"/>
  <c r="G58" i="4" s="1"/>
  <c r="H54" i="4"/>
  <c r="H58" i="4" s="1"/>
  <c r="I54" i="4"/>
  <c r="K54" i="4"/>
  <c r="L54" i="4"/>
  <c r="M54" i="4"/>
  <c r="G56" i="4"/>
  <c r="H56" i="4"/>
  <c r="I56" i="4" s="1"/>
  <c r="K56" i="4"/>
  <c r="L56" i="4"/>
  <c r="M56" i="4"/>
  <c r="O56" i="4"/>
  <c r="P56" i="4"/>
  <c r="B21" i="2"/>
  <c r="O17" i="4" l="1"/>
  <c r="O21" i="4" s="1"/>
  <c r="O23" i="4" s="1"/>
  <c r="O13" i="4"/>
  <c r="C58" i="4"/>
  <c r="C17" i="4"/>
  <c r="C21" i="4" s="1"/>
  <c r="C23" i="4" s="1"/>
  <c r="C13" i="4"/>
  <c r="D21" i="4"/>
  <c r="D23" i="4" s="1"/>
  <c r="D13" i="4"/>
  <c r="E58" i="4"/>
  <c r="I58" i="4"/>
  <c r="M58" i="4"/>
  <c r="L58" i="4"/>
  <c r="P10" i="4"/>
  <c r="P13" i="4" s="1"/>
  <c r="K58" i="4"/>
  <c r="O54" i="4"/>
  <c r="O58" i="4" s="1"/>
  <c r="P54" i="4"/>
  <c r="P58" i="4" s="1"/>
  <c r="H17" i="4"/>
  <c r="H21" i="4" s="1"/>
  <c r="H23" i="4" s="1"/>
  <c r="H13" i="4"/>
  <c r="L18" i="4"/>
  <c r="L21" i="4" s="1"/>
  <c r="L23" i="4" s="1"/>
  <c r="G17" i="4"/>
  <c r="G21" i="4" s="1"/>
  <c r="G23" i="4" s="1"/>
  <c r="G13" i="4"/>
  <c r="L13" i="4"/>
  <c r="K13" i="4"/>
  <c r="B30" i="3"/>
  <c r="P17" i="4" l="1"/>
  <c r="P21" i="4" s="1"/>
  <c r="P23" i="4" s="1"/>
  <c r="B13" i="2"/>
  <c r="B16" i="2" s="1"/>
  <c r="B25" i="3"/>
  <c r="B32" i="3" s="1"/>
  <c r="B17" i="3"/>
  <c r="B12" i="3"/>
  <c r="B18" i="3" l="1"/>
  <c r="B22" i="2"/>
  <c r="B28" i="2" s="1"/>
  <c r="B31" i="2" s="1"/>
  <c r="I12" i="1" l="1"/>
  <c r="I95" i="1"/>
  <c r="I94" i="1"/>
  <c r="I93" i="1"/>
  <c r="I89" i="1"/>
  <c r="I78" i="1"/>
  <c r="I24" i="1"/>
  <c r="I27" i="1" l="1"/>
  <c r="I30" i="1" s="1"/>
  <c r="C21" i="2"/>
  <c r="C30" i="3"/>
  <c r="I37" i="1" l="1"/>
  <c r="I43" i="1" s="1"/>
  <c r="C13" i="2"/>
  <c r="C16" i="2" s="1"/>
  <c r="C25" i="3"/>
  <c r="C17" i="3"/>
  <c r="C12" i="3"/>
  <c r="D12" i="3"/>
  <c r="D17" i="3"/>
  <c r="D25" i="3"/>
  <c r="D30" i="3"/>
  <c r="D36" i="3"/>
  <c r="H95" i="1"/>
  <c r="H94" i="1"/>
  <c r="H93" i="1"/>
  <c r="H78" i="1"/>
  <c r="D27" i="2"/>
  <c r="D18" i="3" l="1"/>
  <c r="I101" i="1"/>
  <c r="I46" i="1"/>
  <c r="I50" i="1" s="1"/>
  <c r="D32" i="3"/>
  <c r="C32" i="3"/>
  <c r="C18" i="3"/>
  <c r="C22" i="2"/>
  <c r="C28" i="2" s="1"/>
  <c r="C31" i="2" s="1"/>
  <c r="G33" i="1" l="1"/>
  <c r="F33" i="1"/>
  <c r="F32" i="1"/>
  <c r="E32" i="1"/>
  <c r="E33" i="1"/>
  <c r="D32" i="1"/>
  <c r="D33" i="1"/>
  <c r="C33" i="1"/>
  <c r="C32" i="1"/>
  <c r="B33" i="1"/>
  <c r="B32" i="1"/>
  <c r="G78" i="1"/>
  <c r="D13" i="2"/>
  <c r="D16" i="2" s="1"/>
  <c r="G95" i="1"/>
  <c r="G94" i="1"/>
  <c r="G93" i="1"/>
  <c r="G89" i="1"/>
  <c r="G24" i="1"/>
  <c r="G12" i="1"/>
  <c r="E27" i="2"/>
  <c r="E13" i="2"/>
  <c r="E16" i="2" s="1"/>
  <c r="E22" i="2" s="1"/>
  <c r="E28" i="2" s="1"/>
  <c r="E31" i="2" s="1"/>
  <c r="D22" i="2" l="1"/>
  <c r="D28" i="2" s="1"/>
  <c r="D31" i="2" s="1"/>
  <c r="G27" i="1"/>
  <c r="G30" i="1" s="1"/>
  <c r="G37" i="1" s="1"/>
  <c r="G43" i="1" l="1"/>
  <c r="F30" i="3"/>
  <c r="G30" i="3"/>
  <c r="H30" i="3"/>
  <c r="F25" i="3"/>
  <c r="G25" i="3"/>
  <c r="H25" i="3"/>
  <c r="F27" i="2"/>
  <c r="G46" i="1" l="1"/>
  <c r="G50" i="1" s="1"/>
  <c r="G96" i="1"/>
  <c r="G101" i="1" s="1"/>
  <c r="H20" i="3" l="1"/>
  <c r="H11" i="3"/>
  <c r="H7" i="3"/>
  <c r="G20" i="3"/>
  <c r="G11" i="3"/>
  <c r="G7" i="3"/>
  <c r="G12" i="3" s="1"/>
  <c r="F20" i="3"/>
  <c r="F11" i="3"/>
  <c r="F7" i="3"/>
  <c r="E20" i="3"/>
  <c r="E11" i="3"/>
  <c r="E7" i="3"/>
  <c r="F12" i="3" l="1"/>
  <c r="H12" i="3"/>
  <c r="F100" i="1"/>
  <c r="F97" i="1"/>
  <c r="F98" i="1"/>
  <c r="F99" i="1"/>
  <c r="F82" i="1"/>
  <c r="F83" i="1"/>
  <c r="F84" i="1"/>
  <c r="F85" i="1"/>
  <c r="F86" i="1"/>
  <c r="F87" i="1"/>
  <c r="F81" i="1"/>
  <c r="E41" i="1"/>
  <c r="E42" i="1"/>
  <c r="E89" i="1" l="1"/>
  <c r="E80" i="1"/>
  <c r="E95" i="1" s="1"/>
  <c r="E79" i="1"/>
  <c r="E94" i="1" s="1"/>
  <c r="E24" i="1"/>
  <c r="E12" i="1"/>
  <c r="E36" i="3"/>
  <c r="E25" i="3"/>
  <c r="E27" i="1" l="1"/>
  <c r="E30" i="1" s="1"/>
  <c r="E37" i="1" s="1"/>
  <c r="E43" i="1" s="1"/>
  <c r="D88" i="1"/>
  <c r="B88" i="1"/>
  <c r="F88" i="1" s="1"/>
  <c r="D21" i="1"/>
  <c r="D23" i="1"/>
  <c r="B23" i="1"/>
  <c r="B21" i="1"/>
  <c r="E96" i="1" l="1"/>
  <c r="E101" i="1" s="1"/>
  <c r="E46" i="1"/>
  <c r="E50" i="1" s="1"/>
  <c r="D45" i="1"/>
  <c r="C45" i="1"/>
  <c r="B45" i="1"/>
  <c r="G18" i="2"/>
  <c r="G9" i="2"/>
  <c r="G8" i="2"/>
  <c r="H9" i="2"/>
  <c r="H8" i="2"/>
  <c r="I18" i="2" l="1"/>
  <c r="I9" i="2"/>
  <c r="I8" i="2"/>
  <c r="F89" i="1"/>
  <c r="D89" i="1"/>
  <c r="C89" i="1"/>
  <c r="B89" i="1"/>
  <c r="F24" i="1"/>
  <c r="D24" i="1"/>
  <c r="C24" i="1"/>
  <c r="B24" i="1"/>
  <c r="F13" i="2" l="1"/>
  <c r="F16" i="2" s="1"/>
  <c r="E30" i="3"/>
  <c r="E17" i="3"/>
  <c r="E12" i="3"/>
  <c r="F12" i="1"/>
  <c r="F27" i="1" s="1"/>
  <c r="F30" i="1" s="1"/>
  <c r="F37" i="1" s="1"/>
  <c r="F43" i="1" s="1"/>
  <c r="F46" i="1" s="1"/>
  <c r="F50" i="1" s="1"/>
  <c r="F22" i="2" l="1"/>
  <c r="F28" i="2" s="1"/>
  <c r="E32" i="3"/>
  <c r="E18" i="3"/>
  <c r="F31" i="2" l="1"/>
  <c r="F96" i="1"/>
  <c r="F101" i="1" s="1"/>
  <c r="D12" i="1"/>
  <c r="D27" i="1" s="1"/>
  <c r="D30" i="1" s="1"/>
  <c r="D37" i="1" s="1"/>
  <c r="D43" i="1" s="1"/>
  <c r="D46" i="1" s="1"/>
  <c r="D50" i="1" s="1"/>
  <c r="F17" i="3"/>
  <c r="G13" i="2"/>
  <c r="G16" i="2" s="1"/>
  <c r="G22" i="2" l="1"/>
  <c r="G28" i="2" s="1"/>
  <c r="G31" i="2" s="1"/>
  <c r="F32" i="3"/>
  <c r="F18" i="3"/>
  <c r="D96" i="1" l="1"/>
  <c r="D101" i="1" s="1"/>
  <c r="G32" i="3"/>
  <c r="G17" i="3"/>
  <c r="G18" i="3" l="1"/>
  <c r="C12" i="1"/>
  <c r="C27" i="1" s="1"/>
  <c r="C30" i="1" s="1"/>
  <c r="C37" i="1" s="1"/>
  <c r="C43" i="1" s="1"/>
  <c r="C46" i="1" s="1"/>
  <c r="C50" i="1" s="1"/>
  <c r="C96" i="1" l="1"/>
  <c r="C101" i="1" s="1"/>
  <c r="H13" i="2"/>
  <c r="H16" i="2" s="1"/>
  <c r="H22" i="2" l="1"/>
  <c r="H28" i="2" s="1"/>
  <c r="H31" i="2" s="1"/>
  <c r="B95" i="1"/>
  <c r="B94" i="1"/>
  <c r="B93" i="1"/>
  <c r="B12" i="1"/>
  <c r="B27" i="1" s="1"/>
  <c r="B30" i="1" s="1"/>
  <c r="B37" i="1" s="1"/>
  <c r="B43" i="1" s="1"/>
  <c r="B46" i="1" s="1"/>
  <c r="B50" i="1" s="1"/>
  <c r="H17" i="3"/>
  <c r="I13" i="2"/>
  <c r="I16" i="2" s="1"/>
  <c r="I22" i="2" l="1"/>
  <c r="I28" i="2" s="1"/>
  <c r="I31" i="2" s="1"/>
  <c r="H32" i="3"/>
  <c r="H18" i="3"/>
  <c r="B96" i="1" l="1"/>
  <c r="B101" i="1" s="1"/>
  <c r="H24" i="1" l="1"/>
  <c r="H12" i="1" l="1"/>
  <c r="H27" i="1" s="1"/>
  <c r="H30" i="1" s="1"/>
  <c r="H37" i="1" l="1"/>
  <c r="H43" i="1" s="1"/>
  <c r="H46" i="1" l="1"/>
  <c r="H50" i="1" s="1"/>
  <c r="H101" i="1"/>
  <c r="H89" i="1" l="1"/>
</calcChain>
</file>

<file path=xl/sharedStrings.xml><?xml version="1.0" encoding="utf-8"?>
<sst xmlns="http://schemas.openxmlformats.org/spreadsheetml/2006/main" count="475" uniqueCount="141">
  <si>
    <t>SAS GROUP</t>
  </si>
  <si>
    <t>Statement of income</t>
  </si>
  <si>
    <t>MAY-</t>
  </si>
  <si>
    <t>AUG-</t>
  </si>
  <si>
    <t>NOV-</t>
  </si>
  <si>
    <t>FEB-</t>
  </si>
  <si>
    <t>(MSEK)</t>
  </si>
  <si>
    <t>JUL</t>
  </si>
  <si>
    <t>OCT</t>
  </si>
  <si>
    <t>JAN</t>
  </si>
  <si>
    <t>APR</t>
  </si>
  <si>
    <t>Passenger revenue</t>
  </si>
  <si>
    <t>Charter revenue</t>
  </si>
  <si>
    <t>Other traffic revenue</t>
  </si>
  <si>
    <t>Other operating revenue</t>
  </si>
  <si>
    <t>Operating revenue</t>
  </si>
  <si>
    <t>Catering costs</t>
  </si>
  <si>
    <t>Handling costs</t>
  </si>
  <si>
    <t>Technical aircraft maintenance</t>
  </si>
  <si>
    <t>Wet lease costs</t>
  </si>
  <si>
    <t>Other expenses</t>
  </si>
  <si>
    <t>Operating expenses</t>
  </si>
  <si>
    <t>Operating income before depreciation</t>
  </si>
  <si>
    <t xml:space="preserve">  and leasing costs, EBITDAR</t>
  </si>
  <si>
    <t>Leasing costs for aircraft</t>
  </si>
  <si>
    <t>Operating income before depreciation, EBITDA</t>
  </si>
  <si>
    <t>Income from the sale of aircraft and buildings</t>
  </si>
  <si>
    <t>Operating income, EBIT</t>
  </si>
  <si>
    <t>Income from other shares and participations</t>
  </si>
  <si>
    <t>Financial income</t>
  </si>
  <si>
    <t>Financial expenses</t>
  </si>
  <si>
    <t>Income before tax</t>
  </si>
  <si>
    <t>Tax</t>
  </si>
  <si>
    <t>Net income</t>
  </si>
  <si>
    <t>Attributable to:</t>
  </si>
  <si>
    <t>Parent Company shareholders</t>
  </si>
  <si>
    <t>Minority interests</t>
  </si>
  <si>
    <t>Specification of other expenses</t>
  </si>
  <si>
    <t>Premises &amp; property costs</t>
  </si>
  <si>
    <t>Rental/lease of fixed assets</t>
  </si>
  <si>
    <t>Printing &amp; expendable material</t>
  </si>
  <si>
    <t>Freight &amp; duty</t>
  </si>
  <si>
    <t>Travel/route expenses</t>
  </si>
  <si>
    <t>Administrative &amp; sundry external services</t>
  </si>
  <si>
    <t>Passenger service on ground</t>
  </si>
  <si>
    <t>Other</t>
  </si>
  <si>
    <t>Total</t>
  </si>
  <si>
    <t>Income before tax and nonrecurring items</t>
  </si>
  <si>
    <t>Impairment losses</t>
  </si>
  <si>
    <t>Restructuring costs</t>
  </si>
  <si>
    <t>Capital gains/losses</t>
  </si>
  <si>
    <t>Other nonrecurring items</t>
  </si>
  <si>
    <t>Oct 31,</t>
  </si>
  <si>
    <t>Jul 31,</t>
  </si>
  <si>
    <t>Apr 30,</t>
  </si>
  <si>
    <t>Jan 31,</t>
  </si>
  <si>
    <t>Tecknat, ej inbetalt kapital</t>
  </si>
  <si>
    <t>Intangible assets</t>
  </si>
  <si>
    <t>Tangible fixed assets</t>
  </si>
  <si>
    <t>Financial fixed assets</t>
  </si>
  <si>
    <t>Total fixed assets</t>
  </si>
  <si>
    <t>Current receivables</t>
  </si>
  <si>
    <t>Cash and cash equivalents</t>
  </si>
  <si>
    <t>Total current assets</t>
  </si>
  <si>
    <t>Total assets</t>
  </si>
  <si>
    <t>Shareholders' equity</t>
  </si>
  <si>
    <t>Total shareholders' equity and liabilities</t>
  </si>
  <si>
    <t>Shareholders' equity per common share (SEK)</t>
  </si>
  <si>
    <t>Interest-bearing assets</t>
  </si>
  <si>
    <t>Interest-bearing liabilities</t>
  </si>
  <si>
    <t>Condensed cash-flow statement</t>
  </si>
  <si>
    <t>Depreciation, amortization and impairment</t>
  </si>
  <si>
    <t>Income from sale of aircraft, buildings and shares</t>
  </si>
  <si>
    <t>Adjustment for other items not included in the cash flow, etc.</t>
  </si>
  <si>
    <t>Tax paid</t>
  </si>
  <si>
    <t>Cash flow from operations before change in working capital</t>
  </si>
  <si>
    <t>Change in working capital</t>
  </si>
  <si>
    <t>Cash flow from operating activities</t>
  </si>
  <si>
    <t>Investments including advance payments to aircraft manufacturers</t>
  </si>
  <si>
    <t>Sale of subsidiaries and affiliated companies</t>
  </si>
  <si>
    <t>Sale of fixed assets, etc.</t>
  </si>
  <si>
    <t>Cash flow before financing activities</t>
  </si>
  <si>
    <t>Hybrid bond</t>
  </si>
  <si>
    <t>New share issue</t>
  </si>
  <si>
    <t>External financing, net</t>
  </si>
  <si>
    <t>Cash flow for the period</t>
  </si>
  <si>
    <t>Translation difference in cash and cash equivalents</t>
  </si>
  <si>
    <t>Change in cash and cash equivalents according to the balance sheet</t>
  </si>
  <si>
    <t>2019-2020</t>
  </si>
  <si>
    <t>Personnel expenses</t>
  </si>
  <si>
    <t>Depreciation Right-of-use assets</t>
  </si>
  <si>
    <t>Depreciation fixed assets</t>
  </si>
  <si>
    <t>Financial expenses IFRS16</t>
  </si>
  <si>
    <t>Computer and telecommunications costs</t>
  </si>
  <si>
    <t>Sales and distribution costs</t>
  </si>
  <si>
    <t>Fuel expenses</t>
  </si>
  <si>
    <t>Inventories and expendable spare parts</t>
  </si>
  <si>
    <t>Interest bearing liabilities</t>
  </si>
  <si>
    <t>Interest bearing leasing liabilities</t>
  </si>
  <si>
    <t>Other liabilities</t>
  </si>
  <si>
    <t>Total non-current liabilities</t>
  </si>
  <si>
    <t>Total current liabilities</t>
  </si>
  <si>
    <t>Amortization of lease liabilities</t>
  </si>
  <si>
    <t>Deferred tax assets</t>
  </si>
  <si>
    <t>Condensed balance sheet</t>
  </si>
  <si>
    <t>Acquisition of subsidiaries and affiliated companies</t>
  </si>
  <si>
    <t>Air traffic charges</t>
  </si>
  <si>
    <t xml:space="preserve">Amortization intangible assets </t>
  </si>
  <si>
    <t>2020-2021</t>
  </si>
  <si>
    <t>Cargo revenue</t>
  </si>
  <si>
    <t>Income from shares in affiliated companies</t>
  </si>
  <si>
    <t>Right-of-Use assets</t>
  </si>
  <si>
    <t xml:space="preserve"> APR 31,</t>
  </si>
  <si>
    <t>2021-2022</t>
  </si>
  <si>
    <t>RASK</t>
  </si>
  <si>
    <t>ASK, total</t>
  </si>
  <si>
    <t>Total traffic revenue</t>
  </si>
  <si>
    <t>Cargo and mail revenue</t>
  </si>
  <si>
    <t>adjusted</t>
  </si>
  <si>
    <t>Currency</t>
  </si>
  <si>
    <t>RASK calculation</t>
  </si>
  <si>
    <t>PASK</t>
  </si>
  <si>
    <t>ASK, schedule</t>
  </si>
  <si>
    <t>PASK calculation</t>
  </si>
  <si>
    <t>Yield</t>
  </si>
  <si>
    <t>RPK, schedule</t>
  </si>
  <si>
    <t>YIELD calculation</t>
  </si>
  <si>
    <t>Unit cost, currency adjusted</t>
  </si>
  <si>
    <t>Adjusted net operating expenditure</t>
  </si>
  <si>
    <t>Items affecting comparability</t>
  </si>
  <si>
    <t>Exch. rate diff. related to operations</t>
  </si>
  <si>
    <t>Operating expenditure</t>
  </si>
  <si>
    <t>Currency adjusted CASK</t>
  </si>
  <si>
    <t>Unit cost, nominal</t>
  </si>
  <si>
    <t>Total ASK</t>
  </si>
  <si>
    <t>Depreciation</t>
  </si>
  <si>
    <t>Aircraft leasing costs</t>
  </si>
  <si>
    <t>Nominal CASK</t>
  </si>
  <si>
    <t>CASK calculation</t>
  </si>
  <si>
    <t>YTD</t>
  </si>
  <si>
    <t>Currency effects between FY22 and FY21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</si>
</sst>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0.00_)"/>
    <numFmt numFmtId="165" formatCode="0.000"/>
  </numFmts>
  <fonts count="23" x14ac:knownFonts="1">
    <font>
      <sz val="11"/>
      <color theme="1"/>
      <name val="Calibri"/>
      <family val="2"/>
      <scheme val="minor"/>
    </font>
    <font>
      <b/>
      <sz val="20"/>
      <name val="Scandinavian"/>
      <family val="3"/>
    </font>
    <font>
      <sz val="9"/>
      <name val="Scandinavian"/>
      <family val="3"/>
    </font>
    <font>
      <b/>
      <sz val="9"/>
      <name val="Scandinavian"/>
      <family val="3"/>
    </font>
    <font>
      <sz val="9"/>
      <color theme="0"/>
      <name val="Scandinavian"/>
      <family val="3"/>
    </font>
    <font>
      <sz val="9"/>
      <color indexed="8"/>
      <name val="Scandinavian"/>
      <family val="3"/>
    </font>
    <font>
      <sz val="9"/>
      <color theme="1"/>
      <name val="Scandinavian"/>
      <family val="3"/>
    </font>
    <font>
      <b/>
      <sz val="9"/>
      <color theme="1"/>
      <name val="Scandinavian"/>
      <family val="3"/>
    </font>
    <font>
      <sz val="12"/>
      <name val="Scandinavian"/>
      <family val="3"/>
    </font>
    <font>
      <sz val="10"/>
      <name val="Scandinavian"/>
      <family val="3"/>
    </font>
    <font>
      <sz val="12"/>
      <name val="Arial"/>
      <family val="2"/>
    </font>
    <font>
      <sz val="12"/>
      <name val="Arial"/>
      <family val="2"/>
    </font>
    <font>
      <b/>
      <i/>
      <sz val="16"/>
      <name val="Helv"/>
    </font>
    <font>
      <sz val="10"/>
      <name val="Scandinavian"/>
      <family val="2"/>
    </font>
    <font>
      <sz val="10"/>
      <name val="Arial"/>
      <family val="2"/>
    </font>
    <font>
      <sz val="12"/>
      <name val="Arial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9"/>
      <name val="Scandinavian"/>
      <family val="2"/>
    </font>
    <font>
      <sz val="9"/>
      <color rgb="FFFF0000"/>
      <name val="Scandinavian"/>
      <family val="2"/>
    </font>
    <font>
      <sz val="14"/>
      <color rgb="FF000000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0">
    <xf numFmtId="0" fontId="0" fillId="0" borderId="0"/>
    <xf numFmtId="0" fontId="10" fillId="0" borderId="0"/>
    <xf numFmtId="43" fontId="11" fillId="0" borderId="0" applyFont="0" applyFill="0" applyBorder="0" applyAlignment="0" applyProtection="0"/>
    <xf numFmtId="164" fontId="12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9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5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14">
    <xf numFmtId="0" fontId="0" fillId="0" borderId="0" xfId="0"/>
    <xf numFmtId="0" fontId="2" fillId="0" borderId="0" xfId="0" applyFont="1" applyFill="1"/>
    <xf numFmtId="0" fontId="2" fillId="0" borderId="1" xfId="0" applyFont="1" applyFill="1" applyBorder="1" applyAlignment="1">
      <alignment horizontal="right"/>
    </xf>
    <xf numFmtId="3" fontId="2" fillId="0" borderId="0" xfId="0" applyNumberFormat="1" applyFont="1" applyFill="1"/>
    <xf numFmtId="3" fontId="2" fillId="0" borderId="1" xfId="0" applyNumberFormat="1" applyFont="1" applyFill="1" applyBorder="1"/>
    <xf numFmtId="1" fontId="3" fillId="0" borderId="0" xfId="0" applyNumberFormat="1" applyFont="1" applyFill="1" applyBorder="1"/>
    <xf numFmtId="1" fontId="2" fillId="0" borderId="1" xfId="0" applyNumberFormat="1" applyFont="1" applyFill="1" applyBorder="1"/>
    <xf numFmtId="1" fontId="2" fillId="0" borderId="0" xfId="0" applyNumberFormat="1" applyFont="1" applyFill="1" applyBorder="1"/>
    <xf numFmtId="3" fontId="2" fillId="0" borderId="0" xfId="0" quotePrefix="1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3" fontId="5" fillId="0" borderId="0" xfId="0" applyNumberFormat="1" applyFont="1" applyFill="1"/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/>
    <xf numFmtId="0" fontId="8" fillId="0" borderId="0" xfId="0" applyFont="1" applyFill="1"/>
    <xf numFmtId="0" fontId="2" fillId="0" borderId="0" xfId="0" applyFont="1" applyFill="1" applyBorder="1" applyAlignment="1">
      <alignment horizontal="right"/>
    </xf>
    <xf numFmtId="1" fontId="2" fillId="0" borderId="1" xfId="0" applyNumberFormat="1" applyFont="1" applyFill="1" applyBorder="1" applyAlignment="1">
      <alignment horizontal="right"/>
    </xf>
    <xf numFmtId="3" fontId="2" fillId="0" borderId="0" xfId="0" applyNumberFormat="1" applyFont="1" applyFill="1" applyBorder="1"/>
    <xf numFmtId="0" fontId="9" fillId="0" borderId="0" xfId="0" applyFont="1" applyFill="1"/>
    <xf numFmtId="0" fontId="6" fillId="0" borderId="0" xfId="0" applyFont="1" applyFill="1"/>
    <xf numFmtId="0" fontId="2" fillId="0" borderId="0" xfId="0" applyFont="1" applyFill="1" applyAlignment="1">
      <alignment horizontal="right"/>
    </xf>
    <xf numFmtId="0" fontId="2" fillId="0" borderId="1" xfId="0" applyFont="1" applyFill="1" applyBorder="1" applyAlignment="1"/>
    <xf numFmtId="3" fontId="2" fillId="0" borderId="0" xfId="20" applyNumberFormat="1" applyFont="1" applyFill="1"/>
    <xf numFmtId="3" fontId="3" fillId="0" borderId="2" xfId="0" applyNumberFormat="1" applyFont="1" applyFill="1" applyBorder="1"/>
    <xf numFmtId="0" fontId="2" fillId="0" borderId="0" xfId="0" applyFont="1" applyFill="1" applyBorder="1"/>
    <xf numFmtId="0" fontId="3" fillId="0" borderId="2" xfId="0" applyFont="1" applyFill="1" applyBorder="1"/>
    <xf numFmtId="3" fontId="2" fillId="0" borderId="1" xfId="20" applyNumberFormat="1" applyFont="1" applyFill="1" applyBorder="1"/>
    <xf numFmtId="0" fontId="3" fillId="0" borderId="0" xfId="0" applyFont="1" applyFill="1"/>
    <xf numFmtId="1" fontId="3" fillId="0" borderId="0" xfId="0" applyNumberFormat="1" applyFont="1" applyFill="1"/>
    <xf numFmtId="0" fontId="1" fillId="0" borderId="0" xfId="0" applyFont="1" applyFill="1"/>
    <xf numFmtId="0" fontId="7" fillId="0" borderId="0" xfId="0" applyFont="1" applyFill="1"/>
    <xf numFmtId="0" fontId="6" fillId="0" borderId="1" xfId="0" applyFont="1" applyFill="1" applyBorder="1"/>
    <xf numFmtId="0" fontId="2" fillId="0" borderId="1" xfId="0" applyFont="1" applyFill="1" applyBorder="1"/>
    <xf numFmtId="3" fontId="2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left"/>
    </xf>
    <xf numFmtId="3" fontId="2" fillId="0" borderId="1" xfId="0" applyNumberFormat="1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left"/>
    </xf>
    <xf numFmtId="3" fontId="2" fillId="0" borderId="0" xfId="0" applyNumberFormat="1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left"/>
    </xf>
    <xf numFmtId="4" fontId="2" fillId="0" borderId="0" xfId="0" applyNumberFormat="1" applyFont="1" applyFill="1" applyAlignment="1">
      <alignment horizontal="right"/>
    </xf>
    <xf numFmtId="1" fontId="2" fillId="0" borderId="0" xfId="0" applyNumberFormat="1" applyFont="1" applyFill="1"/>
    <xf numFmtId="0" fontId="16" fillId="0" borderId="0" xfId="0" applyFont="1"/>
    <xf numFmtId="0" fontId="17" fillId="0" borderId="0" xfId="0" applyFont="1"/>
    <xf numFmtId="0" fontId="17" fillId="0" borderId="0" xfId="0" applyFont="1" applyAlignment="1">
      <alignment horizontal="right"/>
    </xf>
    <xf numFmtId="2" fontId="17" fillId="0" borderId="0" xfId="0" applyNumberFormat="1" applyFont="1"/>
    <xf numFmtId="2" fontId="18" fillId="0" borderId="0" xfId="0" applyNumberFormat="1" applyFont="1"/>
    <xf numFmtId="2" fontId="19" fillId="0" borderId="0" xfId="0" applyNumberFormat="1" applyFont="1"/>
    <xf numFmtId="0" fontId="19" fillId="0" borderId="0" xfId="0" applyFont="1"/>
    <xf numFmtId="0" fontId="19" fillId="0" borderId="3" xfId="0" applyFont="1" applyBorder="1"/>
    <xf numFmtId="0" fontId="19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20" fillId="0" borderId="0" xfId="0" applyFont="1"/>
    <xf numFmtId="3" fontId="17" fillId="0" borderId="0" xfId="0" applyNumberFormat="1" applyFont="1"/>
    <xf numFmtId="3" fontId="18" fillId="0" borderId="0" xfId="0" applyNumberFormat="1" applyFont="1"/>
    <xf numFmtId="0" fontId="16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18" fillId="0" borderId="0" xfId="0" applyFont="1"/>
    <xf numFmtId="0" fontId="19" fillId="0" borderId="2" xfId="0" applyFont="1" applyBorder="1"/>
    <xf numFmtId="0" fontId="17" fillId="0" borderId="1" xfId="0" applyFont="1" applyBorder="1"/>
    <xf numFmtId="3" fontId="17" fillId="0" borderId="1" xfId="0" applyNumberFormat="1" applyFont="1" applyBorder="1"/>
    <xf numFmtId="3" fontId="18" fillId="0" borderId="1" xfId="0" applyNumberFormat="1" applyFont="1" applyBorder="1"/>
    <xf numFmtId="0" fontId="18" fillId="0" borderId="1" xfId="0" applyFont="1" applyBorder="1"/>
    <xf numFmtId="3" fontId="18" fillId="0" borderId="0" xfId="0" applyNumberFormat="1" applyFont="1" applyAlignment="1">
      <alignment horizontal="right"/>
    </xf>
    <xf numFmtId="3" fontId="2" fillId="0" borderId="0" xfId="0" applyNumberFormat="1" applyFont="1"/>
    <xf numFmtId="0" fontId="3" fillId="0" borderId="1" xfId="0" applyFont="1" applyBorder="1" applyAlignment="1">
      <alignment horizontal="right"/>
    </xf>
    <xf numFmtId="0" fontId="17" fillId="0" borderId="1" xfId="0" applyFont="1" applyBorder="1" applyAlignment="1">
      <alignment horizontal="right"/>
    </xf>
    <xf numFmtId="0" fontId="21" fillId="0" borderId="0" xfId="0" applyFont="1"/>
    <xf numFmtId="0" fontId="18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0" fontId="21" fillId="0" borderId="1" xfId="0" applyFont="1" applyBorder="1"/>
    <xf numFmtId="3" fontId="17" fillId="0" borderId="0" xfId="0" applyNumberFormat="1" applyFont="1" applyAlignment="1">
      <alignment horizontal="right"/>
    </xf>
    <xf numFmtId="2" fontId="3" fillId="0" borderId="0" xfId="0" applyNumberFormat="1" applyFont="1"/>
    <xf numFmtId="0" fontId="3" fillId="0" borderId="0" xfId="0" applyFont="1"/>
    <xf numFmtId="0" fontId="3" fillId="0" borderId="3" xfId="0" applyFont="1" applyBorder="1"/>
    <xf numFmtId="3" fontId="16" fillId="0" borderId="0" xfId="0" applyNumberFormat="1" applyFont="1" applyAlignment="1">
      <alignment horizontal="right"/>
    </xf>
    <xf numFmtId="2" fontId="17" fillId="0" borderId="1" xfId="0" applyNumberFormat="1" applyFont="1" applyBorder="1"/>
    <xf numFmtId="2" fontId="18" fillId="0" borderId="1" xfId="0" applyNumberFormat="1" applyFont="1" applyBorder="1"/>
    <xf numFmtId="0" fontId="3" fillId="0" borderId="4" xfId="0" applyFont="1" applyBorder="1"/>
    <xf numFmtId="0" fontId="17" fillId="0" borderId="3" xfId="0" applyFont="1" applyBorder="1"/>
    <xf numFmtId="3" fontId="17" fillId="0" borderId="1" xfId="0" applyNumberFormat="1" applyFont="1" applyBorder="1" applyAlignment="1">
      <alignment horizontal="right"/>
    </xf>
    <xf numFmtId="0" fontId="2" fillId="0" borderId="0" xfId="0" applyFont="1"/>
    <xf numFmtId="0" fontId="2" fillId="0" borderId="4" xfId="0" applyFont="1" applyBorder="1"/>
    <xf numFmtId="0" fontId="2" fillId="0" borderId="3" xfId="0" applyFont="1" applyBorder="1"/>
    <xf numFmtId="0" fontId="19" fillId="0" borderId="1" xfId="0" applyFont="1" applyBorder="1"/>
    <xf numFmtId="0" fontId="3" fillId="0" borderId="1" xfId="0" applyFont="1" applyBorder="1"/>
    <xf numFmtId="0" fontId="20" fillId="0" borderId="1" xfId="0" applyFont="1" applyBorder="1"/>
    <xf numFmtId="3" fontId="19" fillId="0" borderId="0" xfId="0" applyNumberFormat="1" applyFont="1" applyAlignment="1">
      <alignment horizontal="right"/>
    </xf>
    <xf numFmtId="3" fontId="20" fillId="0" borderId="0" xfId="0" applyNumberFormat="1" applyFont="1" applyAlignment="1">
      <alignment horizontal="right"/>
    </xf>
    <xf numFmtId="0" fontId="21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3" fontId="18" fillId="0" borderId="0" xfId="0" applyNumberFormat="1" applyFont="1" applyBorder="1"/>
    <xf numFmtId="0" fontId="20" fillId="0" borderId="0" xfId="0" applyFont="1" applyBorder="1"/>
    <xf numFmtId="0" fontId="18" fillId="0" borderId="0" xfId="0" applyFont="1" applyBorder="1"/>
    <xf numFmtId="2" fontId="18" fillId="0" borderId="0" xfId="0" applyNumberFormat="1" applyFont="1" applyBorder="1"/>
    <xf numFmtId="3" fontId="18" fillId="0" borderId="0" xfId="0" applyNumberFormat="1" applyFont="1" applyFill="1" applyAlignment="1">
      <alignment horizontal="right"/>
    </xf>
    <xf numFmtId="0" fontId="19" fillId="0" borderId="0" xfId="0" applyFont="1" applyFill="1" applyAlignment="1">
      <alignment horizontal="right"/>
    </xf>
    <xf numFmtId="2" fontId="18" fillId="0" borderId="0" xfId="0" applyNumberFormat="1" applyFont="1" applyFill="1"/>
    <xf numFmtId="3" fontId="18" fillId="0" borderId="0" xfId="0" applyNumberFormat="1" applyFont="1" applyFill="1"/>
    <xf numFmtId="0" fontId="18" fillId="0" borderId="0" xfId="0" applyFont="1" applyFill="1" applyAlignment="1">
      <alignment horizontal="right"/>
    </xf>
    <xf numFmtId="0" fontId="19" fillId="0" borderId="0" xfId="0" applyFont="1" applyFill="1"/>
    <xf numFmtId="0" fontId="17" fillId="0" borderId="0" xfId="0" applyFont="1"/>
    <xf numFmtId="0" fontId="3" fillId="0" borderId="1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18" fillId="0" borderId="0" xfId="0" applyFont="1" applyFill="1"/>
    <xf numFmtId="3" fontId="18" fillId="0" borderId="1" xfId="0" applyNumberFormat="1" applyFont="1" applyFill="1" applyBorder="1"/>
    <xf numFmtId="0" fontId="18" fillId="0" borderId="1" xfId="0" applyFont="1" applyFill="1" applyBorder="1"/>
    <xf numFmtId="165" fontId="18" fillId="0" borderId="0" xfId="0" applyNumberFormat="1" applyFont="1" applyFill="1"/>
    <xf numFmtId="0" fontId="18" fillId="0" borderId="1" xfId="0" applyFont="1" applyFill="1" applyBorder="1" applyAlignment="1">
      <alignment horizontal="right"/>
    </xf>
    <xf numFmtId="165" fontId="18" fillId="0" borderId="1" xfId="0" applyNumberFormat="1" applyFont="1" applyFill="1" applyBorder="1"/>
    <xf numFmtId="3" fontId="18" fillId="0" borderId="1" xfId="0" applyNumberFormat="1" applyFont="1" applyFill="1" applyBorder="1" applyAlignment="1">
      <alignment horizontal="right"/>
    </xf>
    <xf numFmtId="0" fontId="22" fillId="0" borderId="0" xfId="0" applyFont="1" applyFill="1" applyAlignment="1">
      <alignment horizontal="right"/>
    </xf>
    <xf numFmtId="3" fontId="19" fillId="0" borderId="0" xfId="0" applyNumberFormat="1" applyFont="1" applyFill="1" applyAlignment="1">
      <alignment horizontal="right"/>
    </xf>
    <xf numFmtId="0" fontId="19" fillId="0" borderId="1" xfId="0" applyFont="1" applyFill="1" applyBorder="1"/>
  </cellXfs>
  <cellStyles count="30">
    <cellStyle name="Comma 2" xfId="2" xr:uid="{00000000-0005-0000-0000-00002F000000}"/>
    <cellStyle name="Comma 3" xfId="21" xr:uid="{FE42310E-A923-40B2-BA7B-933D7D3E4A9F}"/>
    <cellStyle name="Currency 2" xfId="15" xr:uid="{853C6178-AE51-4D14-A92E-D127EF40A5C3}"/>
    <cellStyle name="Currency 2 2" xfId="19" xr:uid="{00000000-0005-0000-0000-00002F000000}"/>
    <cellStyle name="Currency 3" xfId="17" xr:uid="{00000000-0005-0000-0000-000030000000}"/>
    <cellStyle name="Currency 4" xfId="14" xr:uid="{00000000-0005-0000-0000-00003A000000}"/>
    <cellStyle name="Normal" xfId="0" builtinId="0"/>
    <cellStyle name="Normal - Style1" xfId="3" xr:uid="{00000000-0005-0000-0000-000002000000}"/>
    <cellStyle name="Normal 10" xfId="12" xr:uid="{00000000-0005-0000-0000-00003E000000}"/>
    <cellStyle name="Normal 11" xfId="20" xr:uid="{57378203-F948-4348-B32F-98A49FAC237D}"/>
    <cellStyle name="Normal 2" xfId="5" xr:uid="{00000000-0005-0000-0000-000030000000}"/>
    <cellStyle name="Normal 2 2" xfId="18" xr:uid="{00000000-0005-0000-0000-000030000000}"/>
    <cellStyle name="Normal 2 3" xfId="23" xr:uid="{584271E4-B889-470A-9A84-67B547297B87}"/>
    <cellStyle name="Normal 3" xfId="6" xr:uid="{00000000-0005-0000-0000-000031000000}"/>
    <cellStyle name="Normal 3 2" xfId="16" xr:uid="{00000000-0005-0000-0000-000032000000}"/>
    <cellStyle name="Normal 3 3" xfId="24" xr:uid="{0F30CC11-CCE9-4EA0-A95A-033810CFCEE9}"/>
    <cellStyle name="Normal 4" xfId="7" xr:uid="{00000000-0005-0000-0000-000032000000}"/>
    <cellStyle name="Normal 4 2" xfId="25" xr:uid="{2D6D3E90-BF67-43B1-A890-3CCE415E0D2C}"/>
    <cellStyle name="Normal 5" xfId="8" xr:uid="{00000000-0005-0000-0000-000033000000}"/>
    <cellStyle name="Normal 5 2" xfId="26" xr:uid="{FF8204A8-CA8A-425A-9992-2A45158EE745}"/>
    <cellStyle name="Normal 6" xfId="9" xr:uid="{00000000-0005-0000-0000-000034000000}"/>
    <cellStyle name="Normal 6 2" xfId="27" xr:uid="{C2FD16AC-6F13-460E-B5C0-28113B5E6177}"/>
    <cellStyle name="Normal 7" xfId="10" xr:uid="{00000000-0005-0000-0000-000035000000}"/>
    <cellStyle name="Normal 7 2" xfId="28" xr:uid="{313A390E-9068-421B-8BC5-A7263639C29F}"/>
    <cellStyle name="Normal 8" xfId="11" xr:uid="{00000000-0005-0000-0000-000036000000}"/>
    <cellStyle name="Normal 8 2" xfId="29" xr:uid="{E39AC3D6-C358-4CA7-AB21-F27E265E7800}"/>
    <cellStyle name="Normal 9" xfId="1" xr:uid="{00000000-0005-0000-0000-000030000000}"/>
    <cellStyle name="Percent 2" xfId="4" xr:uid="{00000000-0005-0000-0000-000039000000}"/>
    <cellStyle name="Percent 3" xfId="13" xr:uid="{00000000-0005-0000-0000-000041000000}"/>
    <cellStyle name="Percent 4" xfId="22" xr:uid="{76D00E65-1FDF-4BFF-AF20-B3FAB3C32CF1}"/>
  </cellStyles>
  <dxfs count="0"/>
  <tableStyles count="0" defaultTableStyle="TableStyleMedium9" defaultPivotStyle="PivotStyleLight16"/>
  <colors>
    <mruColors>
      <color rgb="FFFFFF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92316/Downloads/PL-Balancesheet-Cash-flow_Q1-2022-Englis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candinavianairlinessystem.sharepoint.com/sites/InvestorRelations-externfinansiellproduktion/Shared%20Documents/General/Del&#229;rsrapporter/2022/Q2/For%20publishing/P&amp;L,%20Balancesheet,Cash-flow_Q2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Balance Sheet"/>
      <sheetName val="Cash-Flow"/>
      <sheetName val="CASK, Yield, PASK &amp; RASK_x0009__x0009__x0009__x0009__x0009__x0009__x0009_"/>
    </sheetNames>
    <sheetDataSet>
      <sheetData sheetId="0">
        <row r="8">
          <cell r="E8">
            <v>88</v>
          </cell>
          <cell r="J8">
            <v>267</v>
          </cell>
        </row>
        <row r="9">
          <cell r="E9">
            <v>163</v>
          </cell>
          <cell r="J9">
            <v>350</v>
          </cell>
        </row>
        <row r="10">
          <cell r="E10">
            <v>366</v>
          </cell>
          <cell r="J10">
            <v>497</v>
          </cell>
        </row>
        <row r="11">
          <cell r="E11">
            <v>605</v>
          </cell>
          <cell r="J11">
            <v>651</v>
          </cell>
        </row>
        <row r="24">
          <cell r="E24">
            <v>-4210</v>
          </cell>
          <cell r="J24">
            <v>-4989</v>
          </cell>
        </row>
        <row r="29">
          <cell r="E29">
            <v>15</v>
          </cell>
          <cell r="J29">
            <v>-3</v>
          </cell>
        </row>
        <row r="32">
          <cell r="E32">
            <v>-38</v>
          </cell>
          <cell r="J32">
            <v>-37</v>
          </cell>
        </row>
        <row r="33">
          <cell r="E33">
            <v>-420</v>
          </cell>
          <cell r="J33">
            <v>-352</v>
          </cell>
        </row>
        <row r="34">
          <cell r="E34">
            <v>-1107</v>
          </cell>
          <cell r="J34">
            <v>-823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Balance Sheet"/>
      <sheetName val="Cash-Flow"/>
      <sheetName val="CASK, Yield, PASK &amp; RASK"/>
    </sheetNames>
    <sheetDataSet>
      <sheetData sheetId="0">
        <row r="32">
          <cell r="N32">
            <v>-9.9282000000000146</v>
          </cell>
        </row>
        <row r="33">
          <cell r="N33">
            <v>-346.36503027392041</v>
          </cell>
        </row>
        <row r="34">
          <cell r="N34">
            <v>-806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2"/>
  <sheetViews>
    <sheetView zoomScale="110" zoomScaleNormal="110" workbookViewId="0">
      <pane xSplit="1" ySplit="6" topLeftCell="B52" activePane="bottomRight" state="frozen"/>
      <selection activeCell="G22" sqref="G22"/>
      <selection pane="topRight" activeCell="G22" sqref="G22"/>
      <selection pane="bottomLeft" activeCell="G22" sqref="G22"/>
      <selection pane="bottomRight" activeCell="K14" sqref="K14"/>
    </sheetView>
  </sheetViews>
  <sheetFormatPr defaultColWidth="11.42578125" defaultRowHeight="15.75" x14ac:dyDescent="0.25"/>
  <cols>
    <col min="1" max="1" width="40.140625" style="18" customWidth="1"/>
    <col min="2" max="2" width="9.85546875" style="14" customWidth="1"/>
    <col min="3" max="4" width="9.5703125" style="14" customWidth="1"/>
    <col min="5" max="5" width="9.85546875" style="14" customWidth="1"/>
    <col min="6" max="6" width="9.5703125" style="14" customWidth="1"/>
    <col min="7" max="9" width="9.85546875" style="14" customWidth="1"/>
    <col min="10" max="16384" width="11.42578125" style="14"/>
  </cols>
  <sheetData>
    <row r="1" spans="1:9" ht="26.25" x14ac:dyDescent="0.4">
      <c r="A1" s="29" t="s">
        <v>0</v>
      </c>
    </row>
    <row r="2" spans="1:9" s="1" customFormat="1" ht="12" x14ac:dyDescent="0.2"/>
    <row r="3" spans="1:9" s="1" customFormat="1" ht="12" x14ac:dyDescent="0.2"/>
    <row r="4" spans="1:9" s="1" customFormat="1" ht="12" x14ac:dyDescent="0.2">
      <c r="A4" s="32"/>
      <c r="B4" s="2" t="s">
        <v>108</v>
      </c>
      <c r="C4" s="2">
        <v>2021</v>
      </c>
      <c r="D4" s="2">
        <v>2021</v>
      </c>
      <c r="E4" s="2">
        <v>2021</v>
      </c>
      <c r="F4" s="2" t="s">
        <v>108</v>
      </c>
      <c r="G4" s="2" t="s">
        <v>113</v>
      </c>
      <c r="H4" s="2">
        <v>2022</v>
      </c>
      <c r="I4" s="2">
        <v>2022</v>
      </c>
    </row>
    <row r="5" spans="1:9" s="1" customFormat="1" ht="12" x14ac:dyDescent="0.2">
      <c r="A5" s="27" t="s">
        <v>1</v>
      </c>
      <c r="B5" s="15" t="s">
        <v>4</v>
      </c>
      <c r="C5" s="15" t="s">
        <v>5</v>
      </c>
      <c r="D5" s="15" t="s">
        <v>2</v>
      </c>
      <c r="E5" s="15" t="s">
        <v>3</v>
      </c>
      <c r="F5" s="15" t="s">
        <v>4</v>
      </c>
      <c r="G5" s="15" t="s">
        <v>4</v>
      </c>
      <c r="H5" s="15" t="s">
        <v>5</v>
      </c>
      <c r="I5" s="15" t="s">
        <v>2</v>
      </c>
    </row>
    <row r="6" spans="1:9" s="1" customFormat="1" ht="12" x14ac:dyDescent="0.2">
      <c r="A6" s="32" t="s">
        <v>6</v>
      </c>
      <c r="B6" s="16" t="s">
        <v>9</v>
      </c>
      <c r="C6" s="16" t="s">
        <v>10</v>
      </c>
      <c r="D6" s="16" t="s">
        <v>7</v>
      </c>
      <c r="E6" s="16" t="s">
        <v>8</v>
      </c>
      <c r="F6" s="16" t="s">
        <v>8</v>
      </c>
      <c r="G6" s="16" t="s">
        <v>9</v>
      </c>
      <c r="H6" s="16" t="s">
        <v>10</v>
      </c>
      <c r="I6" s="16" t="s">
        <v>7</v>
      </c>
    </row>
    <row r="7" spans="1:9" s="1" customFormat="1" ht="12" x14ac:dyDescent="0.2">
      <c r="A7" s="40" t="s">
        <v>11</v>
      </c>
      <c r="B7" s="3">
        <v>1097</v>
      </c>
      <c r="C7" s="3">
        <v>950</v>
      </c>
      <c r="D7" s="3">
        <v>2357</v>
      </c>
      <c r="E7" s="3">
        <v>3997</v>
      </c>
      <c r="F7" s="3">
        <v>8401</v>
      </c>
      <c r="G7" s="3">
        <v>3506</v>
      </c>
      <c r="H7" s="3">
        <v>4809</v>
      </c>
      <c r="I7" s="3">
        <v>7163</v>
      </c>
    </row>
    <row r="8" spans="1:9" s="1" customFormat="1" ht="12" x14ac:dyDescent="0.2">
      <c r="A8" s="40" t="s">
        <v>12</v>
      </c>
      <c r="B8" s="3">
        <v>9</v>
      </c>
      <c r="C8" s="3">
        <v>3</v>
      </c>
      <c r="D8" s="3">
        <v>105</v>
      </c>
      <c r="E8" s="3">
        <v>267</v>
      </c>
      <c r="F8" s="3">
        <v>384</v>
      </c>
      <c r="G8" s="3">
        <v>168</v>
      </c>
      <c r="H8" s="3">
        <v>188</v>
      </c>
      <c r="I8" s="3">
        <v>641</v>
      </c>
    </row>
    <row r="9" spans="1:9" s="1" customFormat="1" ht="12" x14ac:dyDescent="0.2">
      <c r="A9" s="40" t="s">
        <v>109</v>
      </c>
      <c r="B9" s="3">
        <v>231</v>
      </c>
      <c r="C9" s="3">
        <v>282</v>
      </c>
      <c r="D9" s="3">
        <v>303</v>
      </c>
      <c r="E9" s="3">
        <v>350</v>
      </c>
      <c r="F9" s="3">
        <v>1166</v>
      </c>
      <c r="G9" s="3">
        <v>464</v>
      </c>
      <c r="H9" s="3">
        <v>423</v>
      </c>
      <c r="I9" s="3">
        <v>323</v>
      </c>
    </row>
    <row r="10" spans="1:9" s="1" customFormat="1" ht="12" x14ac:dyDescent="0.2">
      <c r="A10" s="40" t="s">
        <v>13</v>
      </c>
      <c r="B10" s="3">
        <v>400</v>
      </c>
      <c r="C10" s="3">
        <v>229</v>
      </c>
      <c r="D10" s="3">
        <v>487</v>
      </c>
      <c r="E10" s="3">
        <v>497</v>
      </c>
      <c r="F10" s="3">
        <v>1613</v>
      </c>
      <c r="G10" s="3">
        <v>686</v>
      </c>
      <c r="H10" s="3">
        <v>807</v>
      </c>
      <c r="I10" s="3">
        <v>706</v>
      </c>
    </row>
    <row r="11" spans="1:9" s="1" customFormat="1" ht="12" x14ac:dyDescent="0.2">
      <c r="A11" s="6" t="s">
        <v>14</v>
      </c>
      <c r="B11" s="4">
        <v>545</v>
      </c>
      <c r="C11" s="4">
        <v>468</v>
      </c>
      <c r="D11" s="4">
        <v>730</v>
      </c>
      <c r="E11" s="4">
        <v>651</v>
      </c>
      <c r="F11" s="4">
        <v>2394</v>
      </c>
      <c r="G11" s="4">
        <v>721</v>
      </c>
      <c r="H11" s="4">
        <v>821</v>
      </c>
      <c r="I11" s="4">
        <v>-253</v>
      </c>
    </row>
    <row r="12" spans="1:9" s="27" customFormat="1" ht="12" x14ac:dyDescent="0.2">
      <c r="A12" s="28" t="s">
        <v>15</v>
      </c>
      <c r="B12" s="13">
        <f t="shared" ref="B12:D12" si="0">SUM(B7:B11)</f>
        <v>2282</v>
      </c>
      <c r="C12" s="13">
        <f t="shared" si="0"/>
        <v>1932</v>
      </c>
      <c r="D12" s="13">
        <f t="shared" si="0"/>
        <v>3982</v>
      </c>
      <c r="E12" s="13">
        <f t="shared" ref="E12" si="1">SUM(E7:E11)</f>
        <v>5762</v>
      </c>
      <c r="F12" s="13">
        <f t="shared" ref="F12:G12" si="2">SUM(F7:F11)</f>
        <v>13958</v>
      </c>
      <c r="G12" s="13">
        <f t="shared" si="2"/>
        <v>5545</v>
      </c>
      <c r="H12" s="13">
        <f t="shared" ref="H12:I12" si="3">SUM(H7:H11)</f>
        <v>7048</v>
      </c>
      <c r="I12" s="13">
        <f t="shared" si="3"/>
        <v>8580</v>
      </c>
    </row>
    <row r="13" spans="1:9" s="1" customFormat="1" ht="12" x14ac:dyDescent="0.2">
      <c r="A13" s="40"/>
      <c r="B13" s="3"/>
      <c r="C13" s="3"/>
      <c r="D13" s="3"/>
      <c r="E13" s="3"/>
      <c r="F13" s="3"/>
      <c r="G13" s="3"/>
      <c r="H13" s="3"/>
      <c r="I13" s="3"/>
    </row>
    <row r="14" spans="1:9" s="1" customFormat="1" ht="12" x14ac:dyDescent="0.2">
      <c r="A14" s="40" t="s">
        <v>89</v>
      </c>
      <c r="B14" s="22">
        <v>-1428</v>
      </c>
      <c r="C14" s="22">
        <v>-1288</v>
      </c>
      <c r="D14" s="22">
        <v>-1350</v>
      </c>
      <c r="E14" s="22">
        <v>-1438</v>
      </c>
      <c r="F14" s="22">
        <v>-5504</v>
      </c>
      <c r="G14" s="22">
        <v>-1652</v>
      </c>
      <c r="H14" s="3">
        <v>-1749</v>
      </c>
      <c r="I14" s="3">
        <v>-1806</v>
      </c>
    </row>
    <row r="15" spans="1:9" s="1" customFormat="1" ht="12" x14ac:dyDescent="0.2">
      <c r="A15" s="40" t="s">
        <v>94</v>
      </c>
      <c r="B15" s="22">
        <v>-118</v>
      </c>
      <c r="C15" s="22">
        <v>-145</v>
      </c>
      <c r="D15" s="22">
        <v>-217</v>
      </c>
      <c r="E15" s="22">
        <v>-288</v>
      </c>
      <c r="F15" s="22">
        <v>-768</v>
      </c>
      <c r="G15" s="22">
        <v>-325</v>
      </c>
      <c r="H15" s="3">
        <v>-399</v>
      </c>
      <c r="I15" s="3">
        <v>-508</v>
      </c>
    </row>
    <row r="16" spans="1:9" s="1" customFormat="1" ht="12" x14ac:dyDescent="0.2">
      <c r="A16" s="40" t="s">
        <v>95</v>
      </c>
      <c r="B16" s="22">
        <v>-428</v>
      </c>
      <c r="C16" s="22">
        <v>-291</v>
      </c>
      <c r="D16" s="22">
        <v>-618</v>
      </c>
      <c r="E16" s="22">
        <v>-1033</v>
      </c>
      <c r="F16" s="22">
        <v>-2370</v>
      </c>
      <c r="G16" s="22">
        <v>-1136</v>
      </c>
      <c r="H16" s="3">
        <v>-1674</v>
      </c>
      <c r="I16" s="3">
        <v>-2860</v>
      </c>
    </row>
    <row r="17" spans="1:9" s="1" customFormat="1" ht="12" x14ac:dyDescent="0.2">
      <c r="A17" s="40" t="s">
        <v>106</v>
      </c>
      <c r="B17" s="22">
        <v>-222</v>
      </c>
      <c r="C17" s="22">
        <v>-203</v>
      </c>
      <c r="D17" s="22">
        <v>-368</v>
      </c>
      <c r="E17" s="22">
        <v>-549</v>
      </c>
      <c r="F17" s="22">
        <v>-1342</v>
      </c>
      <c r="G17" s="22">
        <v>-569</v>
      </c>
      <c r="H17" s="3">
        <v>-622</v>
      </c>
      <c r="I17" s="3">
        <v>-777</v>
      </c>
    </row>
    <row r="18" spans="1:9" s="1" customFormat="1" ht="12" x14ac:dyDescent="0.2">
      <c r="A18" s="40" t="s">
        <v>16</v>
      </c>
      <c r="B18" s="22">
        <v>-64</v>
      </c>
      <c r="C18" s="22">
        <v>-68</v>
      </c>
      <c r="D18" s="22">
        <v>-98</v>
      </c>
      <c r="E18" s="22">
        <v>-143</v>
      </c>
      <c r="F18" s="22">
        <v>-373</v>
      </c>
      <c r="G18" s="22">
        <v>-153</v>
      </c>
      <c r="H18" s="3">
        <v>-173</v>
      </c>
      <c r="I18" s="3">
        <v>-227</v>
      </c>
    </row>
    <row r="19" spans="1:9" s="1" customFormat="1" ht="12" x14ac:dyDescent="0.2">
      <c r="A19" s="40" t="s">
        <v>17</v>
      </c>
      <c r="B19" s="22">
        <v>-216</v>
      </c>
      <c r="C19" s="22">
        <v>-165</v>
      </c>
      <c r="D19" s="22">
        <v>-223</v>
      </c>
      <c r="E19" s="22">
        <v>-359</v>
      </c>
      <c r="F19" s="22">
        <v>-963</v>
      </c>
      <c r="G19" s="22">
        <v>-443</v>
      </c>
      <c r="H19" s="3">
        <v>-451</v>
      </c>
      <c r="I19" s="3">
        <v>-482</v>
      </c>
    </row>
    <row r="20" spans="1:9" s="1" customFormat="1" ht="12" x14ac:dyDescent="0.2">
      <c r="A20" s="40" t="s">
        <v>18</v>
      </c>
      <c r="B20" s="22">
        <v>-263</v>
      </c>
      <c r="C20" s="22">
        <v>-359</v>
      </c>
      <c r="D20" s="22">
        <v>-336</v>
      </c>
      <c r="E20" s="22">
        <v>-501</v>
      </c>
      <c r="F20" s="22">
        <v>-1459</v>
      </c>
      <c r="G20" s="22">
        <v>-383</v>
      </c>
      <c r="H20" s="3">
        <v>-442</v>
      </c>
      <c r="I20" s="3">
        <v>-501</v>
      </c>
    </row>
    <row r="21" spans="1:9" s="1" customFormat="1" ht="12" x14ac:dyDescent="0.2">
      <c r="A21" s="40" t="s">
        <v>93</v>
      </c>
      <c r="B21" s="22">
        <f>-218-9</f>
        <v>-227</v>
      </c>
      <c r="C21" s="22">
        <v>-214</v>
      </c>
      <c r="D21" s="22">
        <f>-233-6</f>
        <v>-239</v>
      </c>
      <c r="E21" s="22">
        <v>-296</v>
      </c>
      <c r="F21" s="22">
        <v>-976</v>
      </c>
      <c r="G21" s="22">
        <v>-271</v>
      </c>
      <c r="H21" s="3">
        <v>-321</v>
      </c>
      <c r="I21" s="3">
        <v>-348</v>
      </c>
    </row>
    <row r="22" spans="1:9" s="1" customFormat="1" ht="12" x14ac:dyDescent="0.2">
      <c r="A22" s="40" t="s">
        <v>19</v>
      </c>
      <c r="B22" s="22">
        <v>-109</v>
      </c>
      <c r="C22" s="22">
        <v>-98</v>
      </c>
      <c r="D22" s="22">
        <v>-126</v>
      </c>
      <c r="E22" s="22">
        <v>-248</v>
      </c>
      <c r="F22" s="22">
        <v>-581</v>
      </c>
      <c r="G22" s="22">
        <v>-322</v>
      </c>
      <c r="H22" s="3">
        <v>-413</v>
      </c>
      <c r="I22" s="3">
        <v>-550</v>
      </c>
    </row>
    <row r="23" spans="1:9" s="1" customFormat="1" ht="12" x14ac:dyDescent="0.2">
      <c r="A23" s="6" t="s">
        <v>20</v>
      </c>
      <c r="B23" s="26">
        <f>-134</f>
        <v>-134</v>
      </c>
      <c r="C23" s="26">
        <v>51</v>
      </c>
      <c r="D23" s="26">
        <f>25</f>
        <v>25</v>
      </c>
      <c r="E23" s="26">
        <v>-134</v>
      </c>
      <c r="F23" s="26">
        <v>-192</v>
      </c>
      <c r="G23" s="26">
        <v>-463</v>
      </c>
      <c r="H23" s="4">
        <v>-466</v>
      </c>
      <c r="I23" s="4">
        <v>-590</v>
      </c>
    </row>
    <row r="24" spans="1:9" s="27" customFormat="1" ht="12" x14ac:dyDescent="0.2">
      <c r="A24" s="5" t="s">
        <v>21</v>
      </c>
      <c r="B24" s="13">
        <f t="shared" ref="B24:F24" si="4">SUM(B14:B23)</f>
        <v>-3209</v>
      </c>
      <c r="C24" s="13">
        <f t="shared" si="4"/>
        <v>-2780</v>
      </c>
      <c r="D24" s="13">
        <f t="shared" si="4"/>
        <v>-3550</v>
      </c>
      <c r="E24" s="13">
        <f t="shared" ref="E24" si="5">SUM(E14:E23)</f>
        <v>-4989</v>
      </c>
      <c r="F24" s="13">
        <f t="shared" si="4"/>
        <v>-14528</v>
      </c>
      <c r="G24" s="13">
        <f t="shared" ref="G24:H24" si="6">SUM(G14:G23)</f>
        <v>-5717</v>
      </c>
      <c r="H24" s="13">
        <f t="shared" si="6"/>
        <v>-6710</v>
      </c>
      <c r="I24" s="13">
        <f t="shared" ref="I24" si="7">SUM(I14:I23)</f>
        <v>-8649</v>
      </c>
    </row>
    <row r="25" spans="1:9" s="1" customFormat="1" ht="12" x14ac:dyDescent="0.2">
      <c r="A25" s="7"/>
      <c r="B25" s="17"/>
      <c r="C25" s="17"/>
      <c r="D25" s="17"/>
      <c r="E25" s="17"/>
      <c r="F25" s="17"/>
      <c r="G25" s="17"/>
      <c r="H25" s="17"/>
      <c r="I25" s="17"/>
    </row>
    <row r="26" spans="1:9" s="1" customFormat="1" ht="12" x14ac:dyDescent="0.2">
      <c r="A26" s="5" t="s">
        <v>22</v>
      </c>
      <c r="B26" s="17"/>
      <c r="C26" s="17"/>
      <c r="D26" s="17"/>
      <c r="E26" s="17"/>
      <c r="F26" s="17"/>
      <c r="G26" s="17"/>
      <c r="H26" s="17"/>
      <c r="I26" s="17"/>
    </row>
    <row r="27" spans="1:9" s="27" customFormat="1" ht="12" x14ac:dyDescent="0.2">
      <c r="A27" s="5" t="s">
        <v>23</v>
      </c>
      <c r="B27" s="13">
        <f t="shared" ref="B27:F27" si="8">B24+B12</f>
        <v>-927</v>
      </c>
      <c r="C27" s="13">
        <f t="shared" si="8"/>
        <v>-848</v>
      </c>
      <c r="D27" s="13">
        <f t="shared" si="8"/>
        <v>432</v>
      </c>
      <c r="E27" s="13">
        <f t="shared" ref="E27" si="9">E24+E12</f>
        <v>773</v>
      </c>
      <c r="F27" s="13">
        <f t="shared" si="8"/>
        <v>-570</v>
      </c>
      <c r="G27" s="13">
        <f t="shared" ref="G27:H27" si="10">G24+G12</f>
        <v>-172</v>
      </c>
      <c r="H27" s="13">
        <f t="shared" si="10"/>
        <v>338</v>
      </c>
      <c r="I27" s="13">
        <f t="shared" ref="I27" si="11">I24+I12</f>
        <v>-69</v>
      </c>
    </row>
    <row r="28" spans="1:9" s="1" customFormat="1" ht="12" x14ac:dyDescent="0.2">
      <c r="A28" s="7"/>
      <c r="B28" s="17"/>
      <c r="C28" s="17"/>
      <c r="D28" s="17"/>
      <c r="E28" s="17"/>
      <c r="F28" s="17"/>
      <c r="G28" s="17"/>
      <c r="H28" s="17"/>
      <c r="I28" s="17"/>
    </row>
    <row r="29" spans="1:9" s="1" customFormat="1" ht="12" x14ac:dyDescent="0.2">
      <c r="A29" s="6" t="s">
        <v>24</v>
      </c>
      <c r="B29" s="4">
        <v>28</v>
      </c>
      <c r="C29" s="4">
        <v>-1</v>
      </c>
      <c r="D29" s="4">
        <v>2</v>
      </c>
      <c r="E29" s="4">
        <v>-3</v>
      </c>
      <c r="F29" s="4">
        <v>26</v>
      </c>
      <c r="G29" s="4">
        <v>-2</v>
      </c>
      <c r="H29" s="4">
        <v>2</v>
      </c>
      <c r="I29" s="4">
        <v>-14</v>
      </c>
    </row>
    <row r="30" spans="1:9" s="27" customFormat="1" ht="12" x14ac:dyDescent="0.2">
      <c r="A30" s="5" t="s">
        <v>25</v>
      </c>
      <c r="B30" s="13">
        <f t="shared" ref="B30:F30" si="12">B29+B27</f>
        <v>-899</v>
      </c>
      <c r="C30" s="13">
        <f t="shared" si="12"/>
        <v>-849</v>
      </c>
      <c r="D30" s="13">
        <f t="shared" si="12"/>
        <v>434</v>
      </c>
      <c r="E30" s="13">
        <f t="shared" ref="E30" si="13">E29+E27</f>
        <v>770</v>
      </c>
      <c r="F30" s="13">
        <f t="shared" si="12"/>
        <v>-544</v>
      </c>
      <c r="G30" s="13">
        <f t="shared" ref="G30:H30" si="14">G29+G27</f>
        <v>-174</v>
      </c>
      <c r="H30" s="13">
        <f t="shared" si="14"/>
        <v>340</v>
      </c>
      <c r="I30" s="13">
        <f t="shared" ref="I30" si="15">I29+I27</f>
        <v>-83</v>
      </c>
    </row>
    <row r="31" spans="1:9" s="1" customFormat="1" ht="12" x14ac:dyDescent="0.2">
      <c r="A31" s="7"/>
      <c r="B31" s="17"/>
      <c r="C31" s="17"/>
      <c r="D31" s="17"/>
      <c r="E31" s="17"/>
      <c r="F31" s="17"/>
      <c r="G31" s="17"/>
      <c r="H31" s="17"/>
      <c r="I31" s="17"/>
    </row>
    <row r="32" spans="1:9" s="1" customFormat="1" ht="12" x14ac:dyDescent="0.2">
      <c r="A32" s="7" t="s">
        <v>107</v>
      </c>
      <c r="B32" s="17">
        <f>-37+30</f>
        <v>-7</v>
      </c>
      <c r="C32" s="17">
        <f>-37+30</f>
        <v>-7</v>
      </c>
      <c r="D32" s="17">
        <f>-36+30</f>
        <v>-6</v>
      </c>
      <c r="E32" s="17">
        <f>-37+30</f>
        <v>-7</v>
      </c>
      <c r="F32" s="17">
        <f>-147+30+30+30+30</f>
        <v>-27</v>
      </c>
      <c r="G32" s="17">
        <v>-10</v>
      </c>
      <c r="H32" s="17">
        <v>-9.9282000000000146</v>
      </c>
      <c r="I32" s="17">
        <v>-5.8084999999999987</v>
      </c>
    </row>
    <row r="33" spans="1:9" s="1" customFormat="1" ht="12" x14ac:dyDescent="0.2">
      <c r="A33" s="40" t="s">
        <v>91</v>
      </c>
      <c r="B33" s="3">
        <f>-410</f>
        <v>-410</v>
      </c>
      <c r="C33" s="3">
        <f>-368</f>
        <v>-368</v>
      </c>
      <c r="D33" s="3">
        <f>-376</f>
        <v>-376</v>
      </c>
      <c r="E33" s="3">
        <f>-382</f>
        <v>-382</v>
      </c>
      <c r="F33" s="3">
        <f>-1536</f>
        <v>-1536</v>
      </c>
      <c r="G33" s="3">
        <f>-373+1</f>
        <v>-372</v>
      </c>
      <c r="H33" s="17">
        <v>-346.36503027392041</v>
      </c>
      <c r="I33" s="17">
        <v>-341.44600305096014</v>
      </c>
    </row>
    <row r="34" spans="1:9" s="1" customFormat="1" ht="12" x14ac:dyDescent="0.2">
      <c r="A34" s="40" t="s">
        <v>90</v>
      </c>
      <c r="B34" s="3">
        <v>-848</v>
      </c>
      <c r="C34" s="3">
        <v>-797</v>
      </c>
      <c r="D34" s="3">
        <v>-786</v>
      </c>
      <c r="E34" s="3">
        <v>-823</v>
      </c>
      <c r="F34" s="3">
        <v>-3254</v>
      </c>
      <c r="G34" s="3">
        <v>-801</v>
      </c>
      <c r="H34" s="17">
        <v>-806</v>
      </c>
      <c r="I34" s="17">
        <v>-819</v>
      </c>
    </row>
    <row r="35" spans="1:9" s="1" customFormat="1" ht="12" x14ac:dyDescent="0.2">
      <c r="A35" s="7" t="s">
        <v>110</v>
      </c>
      <c r="B35" s="3">
        <v>2</v>
      </c>
      <c r="C35" s="3">
        <v>3</v>
      </c>
      <c r="D35" s="3">
        <v>3</v>
      </c>
      <c r="E35" s="3">
        <v>2</v>
      </c>
      <c r="F35" s="3">
        <v>10</v>
      </c>
      <c r="G35" s="3">
        <v>4</v>
      </c>
      <c r="H35" s="3">
        <v>3</v>
      </c>
      <c r="I35" s="3">
        <v>12</v>
      </c>
    </row>
    <row r="36" spans="1:9" s="1" customFormat="1" ht="12" x14ac:dyDescent="0.2">
      <c r="A36" s="6" t="s">
        <v>26</v>
      </c>
      <c r="B36" s="4">
        <v>12</v>
      </c>
      <c r="C36" s="4">
        <v>0</v>
      </c>
      <c r="D36" s="4">
        <v>-121</v>
      </c>
      <c r="E36" s="4">
        <v>-34</v>
      </c>
      <c r="F36" s="4">
        <v>-143</v>
      </c>
      <c r="G36" s="4">
        <v>24</v>
      </c>
      <c r="H36" s="4">
        <v>56</v>
      </c>
      <c r="I36" s="4">
        <v>90</v>
      </c>
    </row>
    <row r="37" spans="1:9" s="27" customFormat="1" ht="12" x14ac:dyDescent="0.2">
      <c r="A37" s="28" t="s">
        <v>27</v>
      </c>
      <c r="B37" s="13">
        <f t="shared" ref="B37:F37" si="16">SUM(B30:B36)</f>
        <v>-2150</v>
      </c>
      <c r="C37" s="13">
        <f t="shared" si="16"/>
        <v>-2018</v>
      </c>
      <c r="D37" s="13">
        <f t="shared" si="16"/>
        <v>-852</v>
      </c>
      <c r="E37" s="13">
        <f t="shared" ref="E37" si="17">SUM(E30:E36)</f>
        <v>-474</v>
      </c>
      <c r="F37" s="13">
        <f t="shared" si="16"/>
        <v>-5494</v>
      </c>
      <c r="G37" s="13">
        <f t="shared" ref="G37" si="18">SUM(G30:G36)</f>
        <v>-1329</v>
      </c>
      <c r="H37" s="13">
        <f>SUM(H30:H36)</f>
        <v>-763.29323027392047</v>
      </c>
      <c r="I37" s="13">
        <f>SUM(I30:I36)</f>
        <v>-1147.25450305096</v>
      </c>
    </row>
    <row r="38" spans="1:9" s="1" customFormat="1" ht="12" x14ac:dyDescent="0.2">
      <c r="A38" s="40"/>
      <c r="B38" s="3"/>
      <c r="C38" s="3"/>
      <c r="D38" s="3"/>
      <c r="E38" s="3"/>
      <c r="F38" s="3"/>
      <c r="G38" s="3"/>
      <c r="H38" s="3"/>
      <c r="I38" s="3"/>
    </row>
    <row r="39" spans="1:9" s="1" customFormat="1" ht="12" x14ac:dyDescent="0.2">
      <c r="A39" s="7" t="s">
        <v>28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</row>
    <row r="40" spans="1:9" s="1" customFormat="1" ht="12" x14ac:dyDescent="0.2">
      <c r="A40" s="7" t="s">
        <v>29</v>
      </c>
      <c r="B40" s="3">
        <v>6</v>
      </c>
      <c r="C40" s="3">
        <v>7</v>
      </c>
      <c r="D40" s="3">
        <v>3</v>
      </c>
      <c r="E40" s="3">
        <v>4</v>
      </c>
      <c r="F40" s="3">
        <v>20</v>
      </c>
      <c r="G40" s="3">
        <v>14</v>
      </c>
      <c r="H40" s="17">
        <v>17</v>
      </c>
      <c r="I40" s="17">
        <v>52</v>
      </c>
    </row>
    <row r="41" spans="1:9" s="1" customFormat="1" ht="12" x14ac:dyDescent="0.2">
      <c r="A41" s="7" t="s">
        <v>30</v>
      </c>
      <c r="B41" s="3">
        <v>-132</v>
      </c>
      <c r="C41" s="3">
        <v>-151</v>
      </c>
      <c r="D41" s="3">
        <v>-180</v>
      </c>
      <c r="E41" s="3">
        <f>-145-1</f>
        <v>-146</v>
      </c>
      <c r="F41" s="3">
        <v>-609</v>
      </c>
      <c r="G41" s="3">
        <v>-183</v>
      </c>
      <c r="H41" s="3">
        <v>-205</v>
      </c>
      <c r="I41" s="3">
        <v>-244</v>
      </c>
    </row>
    <row r="42" spans="1:9" s="1" customFormat="1" ht="12" x14ac:dyDescent="0.2">
      <c r="A42" s="7" t="s">
        <v>92</v>
      </c>
      <c r="B42" s="17">
        <v>361</v>
      </c>
      <c r="C42" s="17">
        <v>-169</v>
      </c>
      <c r="D42" s="17">
        <v>-305</v>
      </c>
      <c r="E42" s="17">
        <f>-330+1</f>
        <v>-329</v>
      </c>
      <c r="F42" s="17">
        <v>-442</v>
      </c>
      <c r="G42" s="17">
        <v>-1099</v>
      </c>
      <c r="H42" s="17">
        <v>-606</v>
      </c>
      <c r="I42" s="17">
        <v>-652</v>
      </c>
    </row>
    <row r="43" spans="1:9" s="27" customFormat="1" ht="12" x14ac:dyDescent="0.2">
      <c r="A43" s="25" t="s">
        <v>31</v>
      </c>
      <c r="B43" s="23">
        <f t="shared" ref="B43:F43" si="19">SUM(B37:B42)</f>
        <v>-1915</v>
      </c>
      <c r="C43" s="23">
        <f t="shared" si="19"/>
        <v>-2331</v>
      </c>
      <c r="D43" s="23">
        <f t="shared" si="19"/>
        <v>-1334</v>
      </c>
      <c r="E43" s="23">
        <f t="shared" ref="E43" si="20">SUM(E37:E42)</f>
        <v>-945</v>
      </c>
      <c r="F43" s="23">
        <f t="shared" si="19"/>
        <v>-6525</v>
      </c>
      <c r="G43" s="23">
        <f>SUM(G37:G42)</f>
        <v>-2597</v>
      </c>
      <c r="H43" s="23">
        <f>SUM(H37:H42)</f>
        <v>-1557.2932302739205</v>
      </c>
      <c r="I43" s="23">
        <f>SUM(I37:I42)</f>
        <v>-1991.25450305096</v>
      </c>
    </row>
    <row r="44" spans="1:9" s="1" customFormat="1" ht="12" x14ac:dyDescent="0.2">
      <c r="B44" s="3"/>
      <c r="C44" s="3"/>
      <c r="D44" s="3"/>
      <c r="E44" s="3"/>
      <c r="F44" s="3"/>
      <c r="G44" s="3"/>
      <c r="H44" s="3"/>
      <c r="I44" s="3"/>
    </row>
    <row r="45" spans="1:9" s="1" customFormat="1" ht="12" x14ac:dyDescent="0.2">
      <c r="A45" s="32" t="s">
        <v>32</v>
      </c>
      <c r="B45" s="4">
        <f>-114-4</f>
        <v>-118</v>
      </c>
      <c r="C45" s="4">
        <f>-72-7</f>
        <v>-79</v>
      </c>
      <c r="D45" s="4">
        <f>3-5</f>
        <v>-2</v>
      </c>
      <c r="E45" s="4">
        <v>201</v>
      </c>
      <c r="F45" s="4">
        <v>2</v>
      </c>
      <c r="G45" s="4">
        <v>155</v>
      </c>
      <c r="H45" s="4">
        <v>37</v>
      </c>
      <c r="I45" s="4">
        <v>143</v>
      </c>
    </row>
    <row r="46" spans="1:9" s="27" customFormat="1" ht="12" x14ac:dyDescent="0.2">
      <c r="A46" s="27" t="s">
        <v>33</v>
      </c>
      <c r="B46" s="13">
        <f t="shared" ref="B46:F46" si="21">SUM(B43:B45)</f>
        <v>-2033</v>
      </c>
      <c r="C46" s="13">
        <f t="shared" si="21"/>
        <v>-2410</v>
      </c>
      <c r="D46" s="13">
        <f t="shared" si="21"/>
        <v>-1336</v>
      </c>
      <c r="E46" s="13">
        <f t="shared" ref="E46" si="22">SUM(E43:E45)</f>
        <v>-744</v>
      </c>
      <c r="F46" s="13">
        <f t="shared" si="21"/>
        <v>-6523</v>
      </c>
      <c r="G46" s="13">
        <f>SUM(G43:G45)</f>
        <v>-2442</v>
      </c>
      <c r="H46" s="13">
        <f>SUM(H43:H45)</f>
        <v>-1520.2932302739205</v>
      </c>
      <c r="I46" s="13">
        <f>SUM(I43:I45)</f>
        <v>-1848.25450305096</v>
      </c>
    </row>
    <row r="47" spans="1:9" s="1" customFormat="1" ht="12" x14ac:dyDescent="0.2">
      <c r="B47" s="3"/>
      <c r="C47" s="3"/>
      <c r="D47" s="3"/>
      <c r="E47" s="3"/>
      <c r="F47" s="3"/>
      <c r="G47" s="3"/>
      <c r="H47" s="3"/>
      <c r="I47" s="3"/>
    </row>
    <row r="48" spans="1:9" s="1" customFormat="1" ht="12" x14ac:dyDescent="0.2">
      <c r="B48" s="3"/>
      <c r="C48" s="3"/>
      <c r="D48" s="3"/>
      <c r="E48" s="3"/>
      <c r="F48" s="3"/>
      <c r="G48" s="3"/>
      <c r="H48" s="3"/>
      <c r="I48" s="3"/>
    </row>
    <row r="49" spans="1:9" s="1" customFormat="1" ht="12" x14ac:dyDescent="0.2">
      <c r="A49" s="7" t="s">
        <v>34</v>
      </c>
    </row>
    <row r="50" spans="1:9" s="1" customFormat="1" ht="12" x14ac:dyDescent="0.2">
      <c r="A50" s="7" t="s">
        <v>35</v>
      </c>
      <c r="B50" s="3">
        <f t="shared" ref="B50:F50" si="23">B46</f>
        <v>-2033</v>
      </c>
      <c r="C50" s="3">
        <f t="shared" si="23"/>
        <v>-2410</v>
      </c>
      <c r="D50" s="3">
        <f t="shared" si="23"/>
        <v>-1336</v>
      </c>
      <c r="E50" s="3">
        <f t="shared" ref="E50" si="24">E46</f>
        <v>-744</v>
      </c>
      <c r="F50" s="3">
        <f t="shared" si="23"/>
        <v>-6523</v>
      </c>
      <c r="G50" s="3">
        <f t="shared" ref="G50:H50" si="25">G46</f>
        <v>-2442</v>
      </c>
      <c r="H50" s="3">
        <f t="shared" si="25"/>
        <v>-1520.2932302739205</v>
      </c>
      <c r="I50" s="3">
        <f t="shared" ref="I50" si="26">I46</f>
        <v>-1848.25450305096</v>
      </c>
    </row>
    <row r="51" spans="1:9" s="1" customFormat="1" ht="12" x14ac:dyDescent="0.2">
      <c r="A51" s="7" t="s">
        <v>36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</row>
    <row r="52" spans="1:9" s="1" customFormat="1" ht="12" x14ac:dyDescent="0.2"/>
    <row r="53" spans="1:9" s="1" customFormat="1" ht="12" x14ac:dyDescent="0.2">
      <c r="B53" s="3"/>
      <c r="C53" s="3"/>
      <c r="D53" s="3"/>
      <c r="E53" s="3"/>
      <c r="F53" s="3"/>
      <c r="G53" s="3"/>
      <c r="H53" s="3"/>
      <c r="I53" s="3"/>
    </row>
    <row r="54" spans="1:9" s="1" customFormat="1" ht="12" hidden="1" x14ac:dyDescent="0.2">
      <c r="B54" s="3"/>
      <c r="C54" s="3"/>
      <c r="D54" s="3"/>
      <c r="E54" s="3"/>
      <c r="F54" s="3"/>
      <c r="G54" s="3"/>
      <c r="H54" s="3"/>
      <c r="I54" s="3"/>
    </row>
    <row r="55" spans="1:9" s="1" customFormat="1" ht="12" hidden="1" x14ac:dyDescent="0.2">
      <c r="B55" s="3"/>
      <c r="C55" s="3"/>
      <c r="D55" s="3"/>
      <c r="E55" s="3"/>
      <c r="F55" s="3"/>
      <c r="G55" s="3"/>
      <c r="H55" s="3"/>
      <c r="I55" s="3"/>
    </row>
    <row r="56" spans="1:9" s="1" customFormat="1" ht="12" hidden="1" x14ac:dyDescent="0.2">
      <c r="B56" s="3"/>
      <c r="C56" s="3"/>
      <c r="D56" s="3"/>
      <c r="E56" s="3"/>
      <c r="F56" s="3"/>
      <c r="G56" s="3"/>
      <c r="H56" s="3"/>
      <c r="I56" s="3"/>
    </row>
    <row r="57" spans="1:9" s="1" customFormat="1" ht="12" hidden="1" x14ac:dyDescent="0.2">
      <c r="B57" s="3"/>
      <c r="C57" s="3"/>
      <c r="D57" s="3"/>
      <c r="E57" s="3"/>
      <c r="F57" s="3"/>
      <c r="G57" s="3"/>
      <c r="H57" s="3"/>
      <c r="I57" s="3"/>
    </row>
    <row r="58" spans="1:9" s="1" customFormat="1" ht="12" hidden="1" x14ac:dyDescent="0.2">
      <c r="B58" s="3"/>
      <c r="C58" s="3"/>
      <c r="D58" s="3"/>
      <c r="E58" s="3"/>
      <c r="F58" s="3"/>
      <c r="G58" s="3"/>
      <c r="H58" s="3"/>
      <c r="I58" s="3"/>
    </row>
    <row r="59" spans="1:9" s="1" customFormat="1" ht="12" hidden="1" x14ac:dyDescent="0.2">
      <c r="B59" s="3"/>
      <c r="C59" s="3"/>
      <c r="D59" s="3"/>
      <c r="E59" s="3"/>
      <c r="F59" s="3"/>
      <c r="G59" s="3"/>
      <c r="H59" s="3"/>
      <c r="I59" s="3"/>
    </row>
    <row r="60" spans="1:9" s="1" customFormat="1" ht="12" hidden="1" x14ac:dyDescent="0.2">
      <c r="B60" s="3"/>
      <c r="C60" s="3"/>
      <c r="D60" s="3"/>
      <c r="E60" s="3"/>
      <c r="F60" s="3"/>
      <c r="G60" s="3"/>
      <c r="H60" s="3"/>
      <c r="I60" s="3"/>
    </row>
    <row r="61" spans="1:9" s="1" customFormat="1" ht="12" hidden="1" x14ac:dyDescent="0.2">
      <c r="B61" s="3"/>
      <c r="C61" s="3"/>
      <c r="D61" s="3"/>
      <c r="E61" s="3"/>
      <c r="F61" s="3"/>
      <c r="G61" s="3"/>
      <c r="H61" s="3"/>
      <c r="I61" s="3"/>
    </row>
    <row r="62" spans="1:9" s="1" customFormat="1" ht="12" hidden="1" x14ac:dyDescent="0.2">
      <c r="B62" s="3"/>
      <c r="C62" s="3"/>
      <c r="D62" s="3"/>
      <c r="E62" s="3"/>
      <c r="F62" s="3"/>
      <c r="G62" s="3"/>
      <c r="H62" s="3"/>
      <c r="I62" s="3"/>
    </row>
    <row r="63" spans="1:9" s="1" customFormat="1" ht="12" hidden="1" x14ac:dyDescent="0.2">
      <c r="B63" s="3"/>
      <c r="C63" s="3"/>
      <c r="D63" s="3"/>
      <c r="E63" s="3"/>
      <c r="F63" s="3"/>
      <c r="G63" s="3"/>
      <c r="H63" s="3"/>
      <c r="I63" s="3"/>
    </row>
    <row r="64" spans="1:9" s="1" customFormat="1" ht="12" hidden="1" x14ac:dyDescent="0.2">
      <c r="B64" s="3"/>
      <c r="C64" s="3"/>
      <c r="D64" s="3"/>
      <c r="E64" s="3"/>
      <c r="F64" s="3"/>
      <c r="G64" s="3"/>
      <c r="H64" s="3"/>
      <c r="I64" s="3"/>
    </row>
    <row r="65" spans="1:9" s="1" customFormat="1" ht="12" hidden="1" x14ac:dyDescent="0.2">
      <c r="B65" s="3"/>
      <c r="C65" s="3"/>
      <c r="D65" s="3"/>
      <c r="E65" s="3"/>
      <c r="F65" s="3"/>
      <c r="G65" s="3"/>
      <c r="H65" s="3"/>
      <c r="I65" s="3"/>
    </row>
    <row r="66" spans="1:9" s="1" customFormat="1" ht="12" hidden="1" x14ac:dyDescent="0.2">
      <c r="B66" s="3"/>
      <c r="C66" s="3"/>
      <c r="D66" s="3"/>
      <c r="E66" s="3"/>
      <c r="F66" s="3"/>
      <c r="G66" s="3"/>
      <c r="H66" s="3"/>
      <c r="I66" s="3"/>
    </row>
    <row r="67" spans="1:9" s="1" customFormat="1" ht="12" hidden="1" x14ac:dyDescent="0.2">
      <c r="B67" s="3"/>
      <c r="C67" s="3"/>
      <c r="D67" s="3"/>
      <c r="E67" s="3"/>
      <c r="F67" s="3"/>
      <c r="G67" s="3"/>
      <c r="H67" s="3"/>
      <c r="I67" s="3"/>
    </row>
    <row r="68" spans="1:9" s="1" customFormat="1" ht="12" hidden="1" x14ac:dyDescent="0.2">
      <c r="B68" s="3"/>
      <c r="C68" s="3"/>
      <c r="D68" s="3"/>
      <c r="E68" s="3"/>
      <c r="F68" s="3"/>
      <c r="G68" s="3"/>
      <c r="H68" s="3"/>
      <c r="I68" s="3"/>
    </row>
    <row r="69" spans="1:9" s="1" customFormat="1" ht="12" hidden="1" x14ac:dyDescent="0.2">
      <c r="B69" s="3"/>
      <c r="C69" s="3"/>
      <c r="D69" s="3"/>
      <c r="E69" s="3"/>
      <c r="F69" s="3"/>
      <c r="G69" s="3"/>
      <c r="H69" s="3"/>
      <c r="I69" s="3"/>
    </row>
    <row r="70" spans="1:9" s="1" customFormat="1" ht="12" hidden="1" x14ac:dyDescent="0.2">
      <c r="B70" s="3"/>
      <c r="C70" s="3"/>
      <c r="D70" s="3"/>
      <c r="E70" s="3"/>
      <c r="F70" s="3"/>
      <c r="G70" s="3"/>
      <c r="H70" s="3"/>
      <c r="I70" s="3"/>
    </row>
    <row r="71" spans="1:9" s="1" customFormat="1" ht="12" hidden="1" x14ac:dyDescent="0.2">
      <c r="B71" s="3"/>
      <c r="C71" s="3"/>
      <c r="D71" s="3"/>
      <c r="E71" s="3"/>
      <c r="F71" s="3"/>
      <c r="G71" s="3"/>
      <c r="H71" s="3"/>
      <c r="I71" s="3"/>
    </row>
    <row r="72" spans="1:9" s="1" customFormat="1" ht="12" hidden="1" x14ac:dyDescent="0.2">
      <c r="B72" s="3"/>
      <c r="C72" s="3"/>
      <c r="D72" s="3"/>
      <c r="E72" s="3"/>
      <c r="F72" s="3"/>
      <c r="G72" s="3"/>
      <c r="H72" s="3"/>
      <c r="I72" s="3"/>
    </row>
    <row r="73" spans="1:9" s="1" customFormat="1" ht="12" hidden="1" x14ac:dyDescent="0.2">
      <c r="B73" s="3"/>
      <c r="C73" s="3"/>
      <c r="D73" s="3"/>
      <c r="E73" s="3"/>
      <c r="F73" s="3"/>
      <c r="G73" s="3"/>
      <c r="H73" s="3"/>
      <c r="I73" s="3"/>
    </row>
    <row r="74" spans="1:9" s="1" customFormat="1" ht="12" hidden="1" x14ac:dyDescent="0.2">
      <c r="B74" s="3"/>
      <c r="C74" s="3"/>
      <c r="D74" s="3"/>
      <c r="E74" s="3"/>
      <c r="F74" s="3"/>
      <c r="G74" s="3"/>
      <c r="H74" s="3"/>
      <c r="I74" s="3"/>
    </row>
    <row r="75" spans="1:9" s="1" customFormat="1" ht="12" hidden="1" x14ac:dyDescent="0.2">
      <c r="B75" s="3"/>
      <c r="C75" s="3"/>
      <c r="D75" s="3"/>
      <c r="E75" s="3"/>
      <c r="F75" s="3"/>
      <c r="G75" s="3"/>
      <c r="H75" s="3"/>
      <c r="I75" s="3"/>
    </row>
    <row r="76" spans="1:9" s="1" customFormat="1" ht="12" x14ac:dyDescent="0.2">
      <c r="B76" s="3"/>
      <c r="C76" s="3"/>
      <c r="D76" s="3"/>
      <c r="E76" s="3"/>
      <c r="F76" s="3"/>
      <c r="G76" s="3"/>
      <c r="H76" s="3"/>
      <c r="I76" s="3"/>
    </row>
    <row r="77" spans="1:9" s="1" customFormat="1" ht="12" x14ac:dyDescent="0.2">
      <c r="B77" s="3"/>
      <c r="C77" s="3"/>
      <c r="D77" s="3"/>
      <c r="E77" s="3"/>
      <c r="F77" s="3"/>
      <c r="G77" s="3"/>
      <c r="H77" s="3"/>
      <c r="I77" s="3"/>
    </row>
    <row r="78" spans="1:9" s="1" customFormat="1" ht="12" x14ac:dyDescent="0.2">
      <c r="A78" s="32"/>
      <c r="B78" s="2" t="s">
        <v>88</v>
      </c>
      <c r="C78" s="2">
        <v>2021</v>
      </c>
      <c r="D78" s="2">
        <v>2021</v>
      </c>
      <c r="E78" s="2">
        <v>2021</v>
      </c>
      <c r="F78" s="2" t="s">
        <v>108</v>
      </c>
      <c r="G78" s="2" t="str">
        <f>G4</f>
        <v>2021-2022</v>
      </c>
      <c r="H78" s="2">
        <f>H4</f>
        <v>2022</v>
      </c>
      <c r="I78" s="2">
        <f>I4</f>
        <v>2022</v>
      </c>
    </row>
    <row r="79" spans="1:9" s="1" customFormat="1" ht="12" x14ac:dyDescent="0.2">
      <c r="A79" s="27" t="s">
        <v>37</v>
      </c>
      <c r="B79" s="15" t="s">
        <v>4</v>
      </c>
      <c r="C79" s="15" t="s">
        <v>5</v>
      </c>
      <c r="D79" s="15" t="s">
        <v>2</v>
      </c>
      <c r="E79" s="15" t="str">
        <f>E5</f>
        <v>AUG-</v>
      </c>
      <c r="F79" s="15" t="s">
        <v>4</v>
      </c>
      <c r="G79" s="15" t="s">
        <v>4</v>
      </c>
      <c r="H79" s="15" t="s">
        <v>4</v>
      </c>
      <c r="I79" s="15" t="s">
        <v>4</v>
      </c>
    </row>
    <row r="80" spans="1:9" s="1" customFormat="1" ht="12" x14ac:dyDescent="0.2">
      <c r="A80" s="6" t="s">
        <v>6</v>
      </c>
      <c r="B80" s="16" t="s">
        <v>9</v>
      </c>
      <c r="C80" s="16" t="s">
        <v>10</v>
      </c>
      <c r="D80" s="16" t="s">
        <v>7</v>
      </c>
      <c r="E80" s="16" t="str">
        <f>E6</f>
        <v>OCT</v>
      </c>
      <c r="F80" s="16" t="s">
        <v>8</v>
      </c>
      <c r="G80" s="16" t="s">
        <v>9</v>
      </c>
      <c r="H80" s="16" t="s">
        <v>9</v>
      </c>
      <c r="I80" s="16" t="s">
        <v>9</v>
      </c>
    </row>
    <row r="81" spans="1:9" s="1" customFormat="1" ht="12" x14ac:dyDescent="0.2">
      <c r="A81" s="40" t="s">
        <v>38</v>
      </c>
      <c r="B81" s="3">
        <v>-67</v>
      </c>
      <c r="C81" s="3">
        <v>-81</v>
      </c>
      <c r="D81" s="3">
        <v>-77</v>
      </c>
      <c r="E81" s="3">
        <v>-84</v>
      </c>
      <c r="F81" s="3">
        <f>SUM(B81:E81)</f>
        <v>-309</v>
      </c>
      <c r="G81" s="3">
        <v>-107</v>
      </c>
      <c r="H81" s="3">
        <v>-96</v>
      </c>
      <c r="I81" s="3">
        <v>-86</v>
      </c>
    </row>
    <row r="82" spans="1:9" s="1" customFormat="1" ht="12" x14ac:dyDescent="0.2">
      <c r="A82" s="40" t="s">
        <v>39</v>
      </c>
      <c r="B82" s="3">
        <v>-68</v>
      </c>
      <c r="C82" s="3">
        <v>-46</v>
      </c>
      <c r="D82" s="3">
        <v>-33</v>
      </c>
      <c r="E82" s="3">
        <v>-28</v>
      </c>
      <c r="F82" s="3">
        <f t="shared" ref="F82:F88" si="27">SUM(B82:E82)</f>
        <v>-175</v>
      </c>
      <c r="G82" s="3">
        <v>-31</v>
      </c>
      <c r="H82" s="3">
        <v>-35</v>
      </c>
      <c r="I82" s="3">
        <v>-26</v>
      </c>
    </row>
    <row r="83" spans="1:9" s="1" customFormat="1" ht="12" x14ac:dyDescent="0.2">
      <c r="A83" s="40" t="s">
        <v>40</v>
      </c>
      <c r="B83" s="3">
        <v>-8</v>
      </c>
      <c r="C83" s="3">
        <v>-6</v>
      </c>
      <c r="D83" s="3">
        <v>-9</v>
      </c>
      <c r="E83" s="3">
        <v>-8</v>
      </c>
      <c r="F83" s="3">
        <f t="shared" si="27"/>
        <v>-31</v>
      </c>
      <c r="G83" s="3">
        <v>-10</v>
      </c>
      <c r="H83" s="3">
        <v>-19</v>
      </c>
      <c r="I83" s="3">
        <v>-16</v>
      </c>
    </row>
    <row r="84" spans="1:9" s="1" customFormat="1" ht="12" x14ac:dyDescent="0.2">
      <c r="A84" s="40" t="s">
        <v>41</v>
      </c>
      <c r="B84" s="3">
        <v>-34</v>
      </c>
      <c r="C84" s="3">
        <v>-31</v>
      </c>
      <c r="D84" s="3">
        <v>-31</v>
      </c>
      <c r="E84" s="3">
        <v>-39</v>
      </c>
      <c r="F84" s="3">
        <f t="shared" si="27"/>
        <v>-135</v>
      </c>
      <c r="G84" s="3">
        <v>-46</v>
      </c>
      <c r="H84" s="3">
        <v>-39</v>
      </c>
      <c r="I84" s="3">
        <v>-55</v>
      </c>
    </row>
    <row r="85" spans="1:9" s="1" customFormat="1" ht="12" x14ac:dyDescent="0.2">
      <c r="A85" s="40" t="s">
        <v>42</v>
      </c>
      <c r="B85" s="3">
        <v>-22</v>
      </c>
      <c r="C85" s="3">
        <v>-11</v>
      </c>
      <c r="D85" s="3">
        <v>-24</v>
      </c>
      <c r="E85" s="3">
        <v>-51</v>
      </c>
      <c r="F85" s="3">
        <f t="shared" si="27"/>
        <v>-108</v>
      </c>
      <c r="G85" s="3">
        <v>-61</v>
      </c>
      <c r="H85" s="3">
        <v>-67</v>
      </c>
      <c r="I85" s="3">
        <v>-76</v>
      </c>
    </row>
    <row r="86" spans="1:9" s="1" customFormat="1" ht="12" x14ac:dyDescent="0.2">
      <c r="A86" s="40" t="s">
        <v>43</v>
      </c>
      <c r="B86" s="3">
        <v>-62</v>
      </c>
      <c r="C86" s="3">
        <v>-34</v>
      </c>
      <c r="D86" s="3">
        <v>-61</v>
      </c>
      <c r="E86" s="3">
        <v>-102</v>
      </c>
      <c r="F86" s="3">
        <f t="shared" si="27"/>
        <v>-259</v>
      </c>
      <c r="G86" s="3">
        <v>-132</v>
      </c>
      <c r="H86" s="3">
        <v>-187</v>
      </c>
      <c r="I86" s="3">
        <v>-289</v>
      </c>
    </row>
    <row r="87" spans="1:9" s="1" customFormat="1" ht="12" x14ac:dyDescent="0.2">
      <c r="A87" s="40" t="s">
        <v>44</v>
      </c>
      <c r="B87" s="3">
        <v>-2</v>
      </c>
      <c r="C87" s="3">
        <v>-1</v>
      </c>
      <c r="D87" s="3">
        <v>-20</v>
      </c>
      <c r="E87" s="3">
        <v>-2</v>
      </c>
      <c r="F87" s="3">
        <f t="shared" si="27"/>
        <v>-25</v>
      </c>
      <c r="G87" s="3">
        <v>-15</v>
      </c>
      <c r="H87" s="3">
        <v>-22</v>
      </c>
      <c r="I87" s="3">
        <v>-41</v>
      </c>
    </row>
    <row r="88" spans="1:9" s="1" customFormat="1" ht="12" x14ac:dyDescent="0.2">
      <c r="A88" s="6" t="s">
        <v>45</v>
      </c>
      <c r="B88" s="4">
        <f>129</f>
        <v>129</v>
      </c>
      <c r="C88" s="4">
        <v>261</v>
      </c>
      <c r="D88" s="4">
        <f>280</f>
        <v>280</v>
      </c>
      <c r="E88" s="4">
        <v>180</v>
      </c>
      <c r="F88" s="4">
        <f t="shared" si="27"/>
        <v>850</v>
      </c>
      <c r="G88" s="4">
        <v>-61</v>
      </c>
      <c r="H88" s="4">
        <v>1</v>
      </c>
      <c r="I88" s="4">
        <v>-1</v>
      </c>
    </row>
    <row r="89" spans="1:9" s="27" customFormat="1" ht="12" x14ac:dyDescent="0.2">
      <c r="A89" s="28" t="s">
        <v>46</v>
      </c>
      <c r="B89" s="13">
        <f t="shared" ref="B89:F89" si="28">SUM(B81:B88)</f>
        <v>-134</v>
      </c>
      <c r="C89" s="13">
        <f t="shared" si="28"/>
        <v>51</v>
      </c>
      <c r="D89" s="13">
        <f t="shared" si="28"/>
        <v>25</v>
      </c>
      <c r="E89" s="13">
        <f t="shared" ref="E89" si="29">SUM(E81:E88)</f>
        <v>-134</v>
      </c>
      <c r="F89" s="13">
        <f t="shared" si="28"/>
        <v>-192</v>
      </c>
      <c r="G89" s="13">
        <f t="shared" ref="G89:H89" si="30">SUM(G81:G88)</f>
        <v>-463</v>
      </c>
      <c r="H89" s="13">
        <f t="shared" si="30"/>
        <v>-464</v>
      </c>
      <c r="I89" s="13">
        <f t="shared" ref="I89" si="31">SUM(I81:I88)</f>
        <v>-590</v>
      </c>
    </row>
    <row r="90" spans="1:9" s="1" customFormat="1" ht="12" x14ac:dyDescent="0.2">
      <c r="A90" s="40"/>
      <c r="B90" s="3"/>
      <c r="C90" s="3"/>
      <c r="D90" s="3"/>
      <c r="E90" s="3"/>
      <c r="F90" s="3"/>
      <c r="G90" s="3"/>
      <c r="H90" s="3"/>
      <c r="I90" s="3"/>
    </row>
    <row r="91" spans="1:9" s="1" customFormat="1" ht="12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s="1" customFormat="1" ht="12" x14ac:dyDescent="0.2">
      <c r="B92" s="3"/>
      <c r="C92" s="3"/>
      <c r="D92" s="3"/>
      <c r="E92" s="3"/>
      <c r="F92" s="3"/>
      <c r="G92" s="3"/>
      <c r="H92" s="3"/>
      <c r="I92" s="3"/>
    </row>
    <row r="93" spans="1:9" s="1" customFormat="1" ht="12" x14ac:dyDescent="0.2">
      <c r="A93" s="32"/>
      <c r="B93" s="2" t="str">
        <f>B4</f>
        <v>2020-2021</v>
      </c>
      <c r="C93" s="2">
        <v>2021</v>
      </c>
      <c r="D93" s="2">
        <v>2021</v>
      </c>
      <c r="E93" s="2">
        <v>2021</v>
      </c>
      <c r="F93" s="2" t="s">
        <v>108</v>
      </c>
      <c r="G93" s="2" t="str">
        <f t="shared" ref="G93:H95" si="32">G4</f>
        <v>2021-2022</v>
      </c>
      <c r="H93" s="2">
        <f t="shared" si="32"/>
        <v>2022</v>
      </c>
      <c r="I93" s="2">
        <f t="shared" ref="I93" si="33">I4</f>
        <v>2022</v>
      </c>
    </row>
    <row r="94" spans="1:9" s="1" customFormat="1" ht="12" x14ac:dyDescent="0.2">
      <c r="A94" s="27" t="s">
        <v>47</v>
      </c>
      <c r="B94" s="15" t="str">
        <f>B5</f>
        <v>NOV-</v>
      </c>
      <c r="C94" s="15" t="s">
        <v>5</v>
      </c>
      <c r="D94" s="15" t="s">
        <v>2</v>
      </c>
      <c r="E94" s="15" t="str">
        <f>E79</f>
        <v>AUG-</v>
      </c>
      <c r="F94" s="15" t="s">
        <v>4</v>
      </c>
      <c r="G94" s="15" t="str">
        <f t="shared" si="32"/>
        <v>NOV-</v>
      </c>
      <c r="H94" s="15" t="str">
        <f t="shared" si="32"/>
        <v>FEB-</v>
      </c>
      <c r="I94" s="15" t="str">
        <f t="shared" ref="I94" si="34">I5</f>
        <v>MAY-</v>
      </c>
    </row>
    <row r="95" spans="1:9" s="1" customFormat="1" ht="12" x14ac:dyDescent="0.2">
      <c r="A95" s="6" t="s">
        <v>6</v>
      </c>
      <c r="B95" s="2" t="str">
        <f>B6</f>
        <v>JAN</v>
      </c>
      <c r="C95" s="16" t="s">
        <v>10</v>
      </c>
      <c r="D95" s="16" t="s">
        <v>7</v>
      </c>
      <c r="E95" s="16" t="str">
        <f>E80</f>
        <v>OCT</v>
      </c>
      <c r="F95" s="16" t="s">
        <v>8</v>
      </c>
      <c r="G95" s="2" t="str">
        <f t="shared" si="32"/>
        <v>JAN</v>
      </c>
      <c r="H95" s="2" t="str">
        <f t="shared" si="32"/>
        <v>APR</v>
      </c>
      <c r="I95" s="2" t="str">
        <f t="shared" ref="I95" si="35">I6</f>
        <v>JUL</v>
      </c>
    </row>
    <row r="96" spans="1:9" s="1" customFormat="1" ht="12" x14ac:dyDescent="0.2">
      <c r="A96" s="1" t="s">
        <v>31</v>
      </c>
      <c r="B96" s="3">
        <f t="shared" ref="B96:G96" si="36">B43</f>
        <v>-1915</v>
      </c>
      <c r="C96" s="3">
        <f t="shared" si="36"/>
        <v>-2331</v>
      </c>
      <c r="D96" s="3">
        <f t="shared" si="36"/>
        <v>-1334</v>
      </c>
      <c r="E96" s="3">
        <f t="shared" si="36"/>
        <v>-945</v>
      </c>
      <c r="F96" s="3">
        <f t="shared" si="36"/>
        <v>-6525</v>
      </c>
      <c r="G96" s="3">
        <f t="shared" si="36"/>
        <v>-2597</v>
      </c>
      <c r="H96" s="3">
        <v>-1557.2932302739205</v>
      </c>
      <c r="I96" s="3">
        <v>-1991.25450305096</v>
      </c>
    </row>
    <row r="97" spans="1:9" s="1" customFormat="1" ht="12" x14ac:dyDescent="0.2">
      <c r="A97" s="1" t="s">
        <v>48</v>
      </c>
      <c r="B97" s="3">
        <v>0</v>
      </c>
      <c r="C97" s="3">
        <v>0</v>
      </c>
      <c r="D97" s="3">
        <v>0</v>
      </c>
      <c r="E97" s="3"/>
      <c r="F97" s="3">
        <f t="shared" ref="F97" si="37">SUM(B97:E97)</f>
        <v>0</v>
      </c>
      <c r="G97" s="3"/>
      <c r="H97" s="3">
        <v>0</v>
      </c>
      <c r="I97" s="3">
        <v>0</v>
      </c>
    </row>
    <row r="98" spans="1:9" s="1" customFormat="1" ht="12" x14ac:dyDescent="0.2">
      <c r="A98" s="1" t="s">
        <v>49</v>
      </c>
      <c r="B98" s="3">
        <v>0</v>
      </c>
      <c r="C98" s="3">
        <v>0</v>
      </c>
      <c r="D98" s="3">
        <v>0</v>
      </c>
      <c r="E98" s="3"/>
      <c r="F98" s="3">
        <f t="shared" ref="F98" si="38">SUM(B98:E98)</f>
        <v>0</v>
      </c>
      <c r="G98" s="3"/>
      <c r="H98" s="3">
        <v>0</v>
      </c>
      <c r="I98" s="3">
        <v>0</v>
      </c>
    </row>
    <row r="99" spans="1:9" s="1" customFormat="1" ht="12" x14ac:dyDescent="0.2">
      <c r="A99" s="1" t="s">
        <v>50</v>
      </c>
      <c r="B99" s="3">
        <v>-12</v>
      </c>
      <c r="C99" s="3">
        <v>0</v>
      </c>
      <c r="D99" s="3">
        <v>121</v>
      </c>
      <c r="E99" s="3">
        <v>34</v>
      </c>
      <c r="F99" s="3">
        <f t="shared" ref="F99:F100" si="39">SUM(B99:E99)</f>
        <v>143</v>
      </c>
      <c r="G99" s="3">
        <v>-24</v>
      </c>
      <c r="H99" s="3">
        <v>-56</v>
      </c>
      <c r="I99" s="3">
        <v>90</v>
      </c>
    </row>
    <row r="100" spans="1:9" s="1" customFormat="1" ht="12" x14ac:dyDescent="0.2">
      <c r="A100" s="32" t="s">
        <v>51</v>
      </c>
      <c r="B100" s="4">
        <v>0</v>
      </c>
      <c r="C100" s="4">
        <v>0</v>
      </c>
      <c r="D100" s="4">
        <v>0</v>
      </c>
      <c r="E100" s="4"/>
      <c r="F100" s="4">
        <f t="shared" si="39"/>
        <v>0</v>
      </c>
      <c r="G100" s="4"/>
      <c r="H100" s="4">
        <v>0</v>
      </c>
      <c r="I100" s="4">
        <v>0</v>
      </c>
    </row>
    <row r="101" spans="1:9" s="27" customFormat="1" ht="12" x14ac:dyDescent="0.2">
      <c r="A101" s="27" t="s">
        <v>47</v>
      </c>
      <c r="B101" s="13">
        <f t="shared" ref="B101:F101" si="40">SUM(B96:B100)</f>
        <v>-1927</v>
      </c>
      <c r="C101" s="13">
        <f t="shared" si="40"/>
        <v>-2331</v>
      </c>
      <c r="D101" s="13">
        <f t="shared" si="40"/>
        <v>-1213</v>
      </c>
      <c r="E101" s="13">
        <f t="shared" ref="E101" si="41">SUM(E96:E100)</f>
        <v>-911</v>
      </c>
      <c r="F101" s="13">
        <f t="shared" si="40"/>
        <v>-6382</v>
      </c>
      <c r="G101" s="13">
        <f t="shared" ref="G101:H101" si="42">SUM(G96:G100)</f>
        <v>-2621</v>
      </c>
      <c r="H101" s="13">
        <f t="shared" si="42"/>
        <v>-1613.2932302739205</v>
      </c>
      <c r="I101" s="13">
        <f t="shared" ref="I101" si="43">SUM(I96:I100)</f>
        <v>-1901.25450305096</v>
      </c>
    </row>
    <row r="102" spans="1:9" s="1" customFormat="1" ht="12" x14ac:dyDescent="0.2"/>
    <row r="103" spans="1:9" s="1" customFormat="1" ht="12" x14ac:dyDescent="0.2"/>
    <row r="104" spans="1:9" s="1" customFormat="1" ht="12" x14ac:dyDescent="0.2"/>
    <row r="105" spans="1:9" x14ac:dyDescent="0.25">
      <c r="B105" s="18"/>
      <c r="C105" s="18"/>
      <c r="D105" s="18"/>
      <c r="E105" s="18"/>
      <c r="F105" s="18"/>
      <c r="G105" s="18"/>
      <c r="H105" s="18"/>
      <c r="I105" s="18"/>
    </row>
    <row r="106" spans="1:9" x14ac:dyDescent="0.25">
      <c r="B106" s="18"/>
      <c r="C106" s="18"/>
      <c r="D106" s="18"/>
      <c r="E106" s="18"/>
      <c r="F106" s="18"/>
      <c r="G106" s="18"/>
      <c r="H106" s="18"/>
      <c r="I106" s="18"/>
    </row>
    <row r="107" spans="1:9" x14ac:dyDescent="0.25">
      <c r="B107" s="18"/>
      <c r="C107" s="18"/>
      <c r="D107" s="18"/>
      <c r="E107" s="18"/>
      <c r="F107" s="18"/>
      <c r="G107" s="18"/>
      <c r="H107" s="18"/>
      <c r="I107" s="18"/>
    </row>
    <row r="108" spans="1:9" x14ac:dyDescent="0.25">
      <c r="B108" s="18"/>
      <c r="C108" s="18"/>
      <c r="D108" s="18"/>
      <c r="E108" s="18"/>
      <c r="F108" s="18"/>
      <c r="G108" s="18"/>
      <c r="H108" s="18"/>
      <c r="I108" s="18"/>
    </row>
    <row r="109" spans="1:9" x14ac:dyDescent="0.25">
      <c r="B109" s="18"/>
      <c r="C109" s="18"/>
      <c r="D109" s="18"/>
      <c r="E109" s="18"/>
      <c r="F109" s="18"/>
      <c r="G109" s="18"/>
      <c r="H109" s="18"/>
      <c r="I109" s="18"/>
    </row>
    <row r="110" spans="1:9" x14ac:dyDescent="0.25">
      <c r="B110" s="18"/>
      <c r="C110" s="18"/>
      <c r="D110" s="18"/>
      <c r="E110" s="18"/>
      <c r="F110" s="18"/>
      <c r="G110" s="18"/>
      <c r="H110" s="18"/>
      <c r="I110" s="18"/>
    </row>
    <row r="111" spans="1:9" x14ac:dyDescent="0.25">
      <c r="B111" s="18"/>
      <c r="C111" s="18"/>
      <c r="D111" s="18"/>
      <c r="E111" s="18"/>
      <c r="F111" s="18"/>
      <c r="G111" s="18"/>
      <c r="H111" s="18"/>
      <c r="I111" s="18"/>
    </row>
    <row r="112" spans="1:9" x14ac:dyDescent="0.25">
      <c r="B112" s="18"/>
      <c r="C112" s="18"/>
      <c r="D112" s="18"/>
      <c r="E112" s="18"/>
      <c r="F112" s="18"/>
      <c r="G112" s="18"/>
      <c r="H112" s="18"/>
      <c r="I112" s="18"/>
    </row>
    <row r="113" spans="2:9" x14ac:dyDescent="0.25">
      <c r="B113" s="18"/>
      <c r="C113" s="18"/>
      <c r="D113" s="18"/>
      <c r="E113" s="18"/>
      <c r="F113" s="18"/>
      <c r="G113" s="18"/>
      <c r="H113" s="18"/>
      <c r="I113" s="18"/>
    </row>
    <row r="114" spans="2:9" x14ac:dyDescent="0.25">
      <c r="B114" s="18"/>
      <c r="C114" s="18"/>
      <c r="D114" s="18"/>
      <c r="E114" s="18"/>
      <c r="F114" s="18"/>
      <c r="G114" s="18"/>
      <c r="H114" s="18"/>
      <c r="I114" s="18"/>
    </row>
    <row r="115" spans="2:9" x14ac:dyDescent="0.25">
      <c r="B115" s="18"/>
      <c r="C115" s="18"/>
      <c r="D115" s="18"/>
      <c r="E115" s="18"/>
      <c r="F115" s="18"/>
      <c r="G115" s="18"/>
      <c r="H115" s="18"/>
      <c r="I115" s="18"/>
    </row>
    <row r="116" spans="2:9" x14ac:dyDescent="0.25">
      <c r="B116" s="18"/>
      <c r="C116" s="18"/>
      <c r="D116" s="18"/>
      <c r="E116" s="18"/>
      <c r="F116" s="18"/>
      <c r="G116" s="18"/>
      <c r="H116" s="18"/>
      <c r="I116" s="18"/>
    </row>
    <row r="117" spans="2:9" x14ac:dyDescent="0.25">
      <c r="B117" s="18"/>
      <c r="C117" s="18"/>
      <c r="D117" s="18"/>
      <c r="E117" s="18"/>
      <c r="F117" s="18"/>
      <c r="G117" s="18"/>
      <c r="H117" s="18"/>
      <c r="I117" s="18"/>
    </row>
    <row r="118" spans="2:9" x14ac:dyDescent="0.25">
      <c r="B118" s="18"/>
      <c r="C118" s="18"/>
      <c r="D118" s="18"/>
      <c r="E118" s="18"/>
      <c r="F118" s="18"/>
      <c r="G118" s="18"/>
      <c r="H118" s="18"/>
      <c r="I118" s="18"/>
    </row>
    <row r="119" spans="2:9" x14ac:dyDescent="0.25">
      <c r="B119" s="18"/>
      <c r="C119" s="18"/>
      <c r="D119" s="18"/>
      <c r="E119" s="18"/>
      <c r="F119" s="18"/>
      <c r="G119" s="18"/>
      <c r="H119" s="18"/>
      <c r="I119" s="18"/>
    </row>
    <row r="120" spans="2:9" x14ac:dyDescent="0.25">
      <c r="B120" s="18"/>
      <c r="C120" s="18"/>
      <c r="D120" s="18"/>
      <c r="E120" s="18"/>
      <c r="F120" s="18"/>
      <c r="G120" s="18"/>
      <c r="H120" s="18"/>
      <c r="I120" s="18"/>
    </row>
    <row r="121" spans="2:9" x14ac:dyDescent="0.25">
      <c r="B121" s="18"/>
      <c r="C121" s="18"/>
      <c r="D121" s="18"/>
      <c r="E121" s="18"/>
      <c r="F121" s="18"/>
      <c r="G121" s="18"/>
      <c r="H121" s="18"/>
      <c r="I121" s="18"/>
    </row>
    <row r="122" spans="2:9" x14ac:dyDescent="0.25">
      <c r="B122" s="18"/>
      <c r="C122" s="18"/>
      <c r="D122" s="18"/>
      <c r="E122" s="18"/>
      <c r="F122" s="18"/>
      <c r="G122" s="18"/>
      <c r="H122" s="18"/>
      <c r="I122" s="18"/>
    </row>
  </sheetData>
  <pageMargins left="0.31496062992125984" right="0.31496062992125984" top="0.74803149606299213" bottom="0.35433070866141736" header="0.31496062992125984" footer="0.11811023622047245"/>
  <pageSetup paperSize="9" scale="60" orientation="portrait" r:id="rId1"/>
  <headerFooter>
    <oddFooter>&amp;L&amp;8Bokslut 2017-18/PKQ4/&amp;F/&amp;A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6"/>
  <sheetViews>
    <sheetView zoomScale="110" zoomScaleNormal="110" workbookViewId="0">
      <selection activeCell="S22" sqref="S22"/>
    </sheetView>
  </sheetViews>
  <sheetFormatPr defaultColWidth="9.140625" defaultRowHeight="12" x14ac:dyDescent="0.2"/>
  <cols>
    <col min="1" max="1" width="35.5703125" style="19" customWidth="1"/>
    <col min="2" max="8" width="11.140625" style="19" customWidth="1"/>
    <col min="9" max="16384" width="9.140625" style="19"/>
  </cols>
  <sheetData>
    <row r="1" spans="1:8" ht="26.25" x14ac:dyDescent="0.4">
      <c r="A1" s="29" t="s">
        <v>0</v>
      </c>
      <c r="B1" s="29"/>
      <c r="C1" s="29"/>
      <c r="D1" s="29"/>
      <c r="E1" s="29"/>
      <c r="F1" s="29"/>
      <c r="G1" s="29"/>
      <c r="H1" s="29"/>
    </row>
    <row r="2" spans="1:8" x14ac:dyDescent="0.2">
      <c r="A2" s="3"/>
      <c r="B2" s="3"/>
      <c r="C2" s="3"/>
      <c r="D2" s="3"/>
      <c r="E2" s="3"/>
      <c r="F2" s="3"/>
      <c r="G2" s="3"/>
      <c r="H2" s="3"/>
    </row>
    <row r="3" spans="1:8" x14ac:dyDescent="0.2">
      <c r="A3" s="3"/>
      <c r="B3" s="3"/>
      <c r="C3" s="3"/>
      <c r="D3" s="3"/>
      <c r="E3" s="3"/>
      <c r="F3" s="3"/>
      <c r="G3" s="3"/>
      <c r="H3" s="3"/>
    </row>
    <row r="4" spans="1:8" x14ac:dyDescent="0.2">
      <c r="A4" s="34" t="s">
        <v>104</v>
      </c>
      <c r="B4" s="8" t="s">
        <v>53</v>
      </c>
      <c r="C4" s="8" t="s">
        <v>54</v>
      </c>
      <c r="D4" s="8" t="s">
        <v>55</v>
      </c>
      <c r="E4" s="8" t="s">
        <v>52</v>
      </c>
      <c r="F4" s="8" t="s">
        <v>53</v>
      </c>
      <c r="G4" s="8" t="s">
        <v>112</v>
      </c>
      <c r="H4" s="8" t="s">
        <v>55</v>
      </c>
    </row>
    <row r="5" spans="1:8" x14ac:dyDescent="0.2">
      <c r="A5" s="35" t="s">
        <v>6</v>
      </c>
      <c r="B5" s="2">
        <v>2022</v>
      </c>
      <c r="C5" s="2">
        <v>2022</v>
      </c>
      <c r="D5" s="2">
        <v>2022</v>
      </c>
      <c r="E5" s="2">
        <v>2021</v>
      </c>
      <c r="F5" s="2">
        <v>2021</v>
      </c>
      <c r="G5" s="2">
        <v>2021</v>
      </c>
      <c r="H5" s="2">
        <v>2021</v>
      </c>
    </row>
    <row r="6" spans="1:8" x14ac:dyDescent="0.2">
      <c r="A6" s="36" t="s">
        <v>56</v>
      </c>
      <c r="B6" s="9"/>
      <c r="C6" s="9"/>
      <c r="D6" s="9"/>
      <c r="E6" s="9"/>
      <c r="F6" s="9"/>
      <c r="G6" s="9"/>
      <c r="H6" s="9"/>
    </row>
    <row r="7" spans="1:8" x14ac:dyDescent="0.2">
      <c r="A7" s="37" t="s">
        <v>57</v>
      </c>
      <c r="B7" s="9">
        <v>704</v>
      </c>
      <c r="C7" s="9">
        <v>709</v>
      </c>
      <c r="D7" s="9">
        <v>717</v>
      </c>
      <c r="E7" s="9">
        <f>1200-491</f>
        <v>709</v>
      </c>
      <c r="F7" s="9">
        <f>1207-519</f>
        <v>688</v>
      </c>
      <c r="G7" s="9">
        <f>1266-543</f>
        <v>723</v>
      </c>
      <c r="H7" s="9">
        <f>1269-573</f>
        <v>696</v>
      </c>
    </row>
    <row r="8" spans="1:8" x14ac:dyDescent="0.2">
      <c r="A8" s="37" t="s">
        <v>58</v>
      </c>
      <c r="B8" s="9">
        <v>19177</v>
      </c>
      <c r="C8" s="9">
        <v>19291</v>
      </c>
      <c r="D8" s="9">
        <v>17157</v>
      </c>
      <c r="E8" s="9">
        <v>17969</v>
      </c>
      <c r="F8" s="9">
        <v>18464</v>
      </c>
      <c r="G8" s="9">
        <v>19336</v>
      </c>
      <c r="H8" s="9">
        <v>18215</v>
      </c>
    </row>
    <row r="9" spans="1:8" x14ac:dyDescent="0.2">
      <c r="A9" s="37" t="s">
        <v>111</v>
      </c>
      <c r="B9" s="9">
        <v>17381</v>
      </c>
      <c r="C9" s="9">
        <v>16947</v>
      </c>
      <c r="D9" s="9">
        <v>16460</v>
      </c>
      <c r="E9" s="9">
        <v>16959</v>
      </c>
      <c r="F9" s="9">
        <v>17153</v>
      </c>
      <c r="G9" s="9">
        <v>16533</v>
      </c>
      <c r="H9" s="9">
        <v>17002</v>
      </c>
    </row>
    <row r="10" spans="1:8" x14ac:dyDescent="0.2">
      <c r="A10" s="37" t="s">
        <v>59</v>
      </c>
      <c r="B10" s="9">
        <v>9887</v>
      </c>
      <c r="C10" s="9">
        <v>8314</v>
      </c>
      <c r="D10" s="9">
        <v>8375</v>
      </c>
      <c r="E10" s="9">
        <v>8165</v>
      </c>
      <c r="F10" s="9">
        <v>7365</v>
      </c>
      <c r="G10" s="9">
        <v>7333</v>
      </c>
      <c r="H10" s="9">
        <v>6308</v>
      </c>
    </row>
    <row r="11" spans="1:8" x14ac:dyDescent="0.2">
      <c r="A11" s="35" t="s">
        <v>103</v>
      </c>
      <c r="B11" s="10">
        <v>1306</v>
      </c>
      <c r="C11" s="10">
        <v>1367</v>
      </c>
      <c r="D11" s="10">
        <v>1297</v>
      </c>
      <c r="E11" s="10">
        <f>1021+105</f>
        <v>1126</v>
      </c>
      <c r="F11" s="10">
        <f>983+111</f>
        <v>1094</v>
      </c>
      <c r="G11" s="10">
        <f>976+116</f>
        <v>1092</v>
      </c>
      <c r="H11" s="10">
        <f>1306+123</f>
        <v>1429</v>
      </c>
    </row>
    <row r="12" spans="1:8" x14ac:dyDescent="0.2">
      <c r="A12" s="38" t="s">
        <v>60</v>
      </c>
      <c r="B12" s="12">
        <f t="shared" ref="B12" si="0">SUM(B7:B11)</f>
        <v>48455</v>
      </c>
      <c r="C12" s="12">
        <f t="shared" ref="C12:D12" si="1">SUM(C7:C11)</f>
        <v>46628</v>
      </c>
      <c r="D12" s="12">
        <f t="shared" si="1"/>
        <v>44006</v>
      </c>
      <c r="E12" s="12">
        <f t="shared" ref="E12:H12" si="2">SUM(E7:E11)</f>
        <v>44928</v>
      </c>
      <c r="F12" s="12">
        <f t="shared" si="2"/>
        <v>44764</v>
      </c>
      <c r="G12" s="12">
        <f t="shared" si="2"/>
        <v>45017</v>
      </c>
      <c r="H12" s="12">
        <f t="shared" si="2"/>
        <v>43650</v>
      </c>
    </row>
    <row r="13" spans="1:8" x14ac:dyDescent="0.2">
      <c r="A13" s="38"/>
      <c r="B13" s="12"/>
      <c r="C13" s="12"/>
      <c r="D13" s="12"/>
      <c r="E13" s="12"/>
      <c r="F13" s="12"/>
      <c r="G13" s="12"/>
      <c r="H13" s="12"/>
    </row>
    <row r="14" spans="1:8" x14ac:dyDescent="0.2">
      <c r="A14" s="37" t="s">
        <v>96</v>
      </c>
      <c r="B14" s="9">
        <v>380</v>
      </c>
      <c r="C14" s="9">
        <v>419</v>
      </c>
      <c r="D14" s="9">
        <v>436</v>
      </c>
      <c r="E14" s="9">
        <v>412</v>
      </c>
      <c r="F14" s="9">
        <v>491</v>
      </c>
      <c r="G14" s="9">
        <v>596</v>
      </c>
      <c r="H14" s="9">
        <v>581</v>
      </c>
    </row>
    <row r="15" spans="1:8" x14ac:dyDescent="0.2">
      <c r="A15" s="37" t="s">
        <v>61</v>
      </c>
      <c r="B15" s="9">
        <v>4714</v>
      </c>
      <c r="C15" s="9">
        <v>3922</v>
      </c>
      <c r="D15" s="9">
        <v>2772</v>
      </c>
      <c r="E15" s="9">
        <v>3104</v>
      </c>
      <c r="F15" s="9">
        <v>2432</v>
      </c>
      <c r="G15" s="9">
        <v>1850</v>
      </c>
      <c r="H15" s="9">
        <v>1398</v>
      </c>
    </row>
    <row r="16" spans="1:8" x14ac:dyDescent="0.2">
      <c r="A16" s="35" t="s">
        <v>62</v>
      </c>
      <c r="B16" s="10">
        <v>6148</v>
      </c>
      <c r="C16" s="10">
        <v>8478</v>
      </c>
      <c r="D16" s="10">
        <v>3438</v>
      </c>
      <c r="E16" s="10">
        <v>4268</v>
      </c>
      <c r="F16" s="10">
        <v>4424</v>
      </c>
      <c r="G16" s="10">
        <v>4420</v>
      </c>
      <c r="H16" s="10">
        <v>4732</v>
      </c>
    </row>
    <row r="17" spans="1:9" x14ac:dyDescent="0.2">
      <c r="A17" s="38" t="s">
        <v>63</v>
      </c>
      <c r="B17" s="12">
        <f t="shared" ref="B17:C17" si="3">SUM(B14:B16)</f>
        <v>11242</v>
      </c>
      <c r="C17" s="12">
        <f t="shared" si="3"/>
        <v>12819</v>
      </c>
      <c r="D17" s="12">
        <f t="shared" ref="D17:E17" si="4">SUM(D14:D16)</f>
        <v>6646</v>
      </c>
      <c r="E17" s="12">
        <f t="shared" si="4"/>
        <v>7784</v>
      </c>
      <c r="F17" s="12">
        <f t="shared" ref="F17:H17" si="5">SUM(F14:F16)</f>
        <v>7347</v>
      </c>
      <c r="G17" s="12">
        <f t="shared" si="5"/>
        <v>6866</v>
      </c>
      <c r="H17" s="12">
        <f t="shared" si="5"/>
        <v>6711</v>
      </c>
    </row>
    <row r="18" spans="1:9" x14ac:dyDescent="0.2">
      <c r="A18" s="13" t="s">
        <v>64</v>
      </c>
      <c r="B18" s="13">
        <f t="shared" ref="B18:C18" si="6">B12+B17</f>
        <v>59697</v>
      </c>
      <c r="C18" s="13">
        <f t="shared" si="6"/>
        <v>59447</v>
      </c>
      <c r="D18" s="13">
        <f t="shared" ref="D18:E18" si="7">D12+D17</f>
        <v>50652</v>
      </c>
      <c r="E18" s="13">
        <f t="shared" si="7"/>
        <v>52712</v>
      </c>
      <c r="F18" s="13">
        <f t="shared" ref="F18:H18" si="8">F12+F17</f>
        <v>52111</v>
      </c>
      <c r="G18" s="13">
        <f t="shared" si="8"/>
        <v>51883</v>
      </c>
      <c r="H18" s="13">
        <f t="shared" si="8"/>
        <v>50361</v>
      </c>
    </row>
    <row r="19" spans="1:9" x14ac:dyDescent="0.2">
      <c r="A19" s="3"/>
      <c r="B19" s="3"/>
      <c r="C19" s="3"/>
      <c r="D19" s="3"/>
      <c r="E19" s="3"/>
      <c r="F19" s="3"/>
      <c r="G19" s="3"/>
      <c r="H19" s="3"/>
    </row>
    <row r="20" spans="1:9" x14ac:dyDescent="0.2">
      <c r="A20" s="3" t="s">
        <v>65</v>
      </c>
      <c r="B20" s="3">
        <v>1365</v>
      </c>
      <c r="C20" s="3">
        <v>2172</v>
      </c>
      <c r="D20" s="3">
        <v>3803</v>
      </c>
      <c r="E20" s="3">
        <f>6802-386</f>
        <v>6416</v>
      </c>
      <c r="F20" s="3">
        <f>7017-408</f>
        <v>6609</v>
      </c>
      <c r="G20" s="3">
        <f>8360-427</f>
        <v>7933</v>
      </c>
      <c r="H20" s="3">
        <f>9510-450</f>
        <v>9060</v>
      </c>
    </row>
    <row r="21" spans="1:9" x14ac:dyDescent="0.2">
      <c r="A21" s="3"/>
      <c r="B21" s="3"/>
      <c r="C21" s="3"/>
      <c r="D21" s="3"/>
      <c r="E21" s="3"/>
      <c r="F21" s="3"/>
      <c r="G21" s="3"/>
      <c r="H21" s="3"/>
    </row>
    <row r="22" spans="1:9" x14ac:dyDescent="0.2">
      <c r="A22" s="3" t="s">
        <v>97</v>
      </c>
      <c r="B22" s="3">
        <v>17455</v>
      </c>
      <c r="C22" s="3">
        <v>17157</v>
      </c>
      <c r="D22" s="3">
        <v>13507</v>
      </c>
      <c r="E22" s="3">
        <v>12989</v>
      </c>
      <c r="F22" s="3">
        <v>12617</v>
      </c>
      <c r="G22" s="3">
        <v>13309</v>
      </c>
      <c r="H22" s="3">
        <v>11829</v>
      </c>
    </row>
    <row r="23" spans="1:9" x14ac:dyDescent="0.2">
      <c r="A23" s="3" t="s">
        <v>98</v>
      </c>
      <c r="B23" s="3">
        <v>16069</v>
      </c>
      <c r="C23" s="3">
        <v>15063</v>
      </c>
      <c r="D23" s="3">
        <v>13973</v>
      </c>
      <c r="E23" s="3">
        <v>13231</v>
      </c>
      <c r="F23" s="3">
        <v>13387</v>
      </c>
      <c r="G23" s="3">
        <v>12590</v>
      </c>
      <c r="H23" s="3">
        <v>12832</v>
      </c>
    </row>
    <row r="24" spans="1:9" x14ac:dyDescent="0.2">
      <c r="A24" s="3" t="s">
        <v>99</v>
      </c>
      <c r="B24" s="3">
        <v>4747</v>
      </c>
      <c r="C24" s="3">
        <v>4024</v>
      </c>
      <c r="D24" s="3">
        <v>3751</v>
      </c>
      <c r="E24" s="3">
        <v>3812</v>
      </c>
      <c r="F24" s="3">
        <v>3403</v>
      </c>
      <c r="G24" s="3">
        <v>3425</v>
      </c>
      <c r="H24" s="3">
        <v>3322</v>
      </c>
    </row>
    <row r="25" spans="1:9" x14ac:dyDescent="0.2">
      <c r="A25" s="23" t="s">
        <v>100</v>
      </c>
      <c r="B25" s="23">
        <f>SUM(B22:B24)</f>
        <v>38271</v>
      </c>
      <c r="C25" s="23">
        <f>SUM(C22:C24)</f>
        <v>36244</v>
      </c>
      <c r="D25" s="23">
        <f>SUM(D22:D24)</f>
        <v>31231</v>
      </c>
      <c r="E25" s="23">
        <f>SUM(E22:E24)</f>
        <v>30032</v>
      </c>
      <c r="F25" s="23">
        <f t="shared" ref="F25:H25" si="9">SUM(F22:F24)</f>
        <v>29407</v>
      </c>
      <c r="G25" s="23">
        <f t="shared" si="9"/>
        <v>29324</v>
      </c>
      <c r="H25" s="23">
        <f t="shared" si="9"/>
        <v>27983</v>
      </c>
      <c r="I25" s="13"/>
    </row>
    <row r="26" spans="1:9" x14ac:dyDescent="0.2">
      <c r="A26" s="13"/>
      <c r="B26" s="3"/>
      <c r="C26" s="3"/>
      <c r="D26" s="3"/>
      <c r="E26" s="3"/>
      <c r="F26" s="3"/>
      <c r="G26" s="3"/>
      <c r="H26" s="3"/>
    </row>
    <row r="27" spans="1:9" x14ac:dyDescent="0.2">
      <c r="A27" s="3" t="s">
        <v>97</v>
      </c>
      <c r="B27" s="3">
        <v>3882</v>
      </c>
      <c r="C27" s="3">
        <v>5233</v>
      </c>
      <c r="D27" s="3">
        <v>4838</v>
      </c>
      <c r="E27" s="3">
        <v>3871</v>
      </c>
      <c r="F27" s="3">
        <v>4442</v>
      </c>
      <c r="G27" s="3">
        <v>3879</v>
      </c>
      <c r="H27" s="3">
        <v>2451</v>
      </c>
    </row>
    <row r="28" spans="1:9" x14ac:dyDescent="0.2">
      <c r="A28" s="3" t="s">
        <v>98</v>
      </c>
      <c r="B28" s="3">
        <v>3410</v>
      </c>
      <c r="C28" s="3">
        <v>3094</v>
      </c>
      <c r="D28" s="3">
        <v>3077</v>
      </c>
      <c r="E28" s="3">
        <v>2833</v>
      </c>
      <c r="F28" s="3">
        <v>2676</v>
      </c>
      <c r="G28" s="3">
        <v>2544</v>
      </c>
      <c r="H28" s="3">
        <v>2670</v>
      </c>
    </row>
    <row r="29" spans="1:9" x14ac:dyDescent="0.2">
      <c r="A29" s="3" t="s">
        <v>99</v>
      </c>
      <c r="B29" s="3">
        <v>12769</v>
      </c>
      <c r="C29" s="3">
        <v>12704</v>
      </c>
      <c r="D29" s="3">
        <v>9703</v>
      </c>
      <c r="E29" s="3">
        <v>9560</v>
      </c>
      <c r="F29" s="3">
        <v>8977</v>
      </c>
      <c r="G29" s="3">
        <v>8203</v>
      </c>
      <c r="H29" s="3">
        <v>8197</v>
      </c>
    </row>
    <row r="30" spans="1:9" x14ac:dyDescent="0.2">
      <c r="A30" s="23" t="s">
        <v>101</v>
      </c>
      <c r="B30" s="23">
        <f t="shared" ref="B30" si="10">SUM(B27:B29)</f>
        <v>20061</v>
      </c>
      <c r="C30" s="23">
        <f t="shared" ref="C30:D30" si="11">SUM(C27:C29)</f>
        <v>21031</v>
      </c>
      <c r="D30" s="23">
        <f t="shared" si="11"/>
        <v>17618</v>
      </c>
      <c r="E30" s="23">
        <f t="shared" ref="E30:H30" si="12">SUM(E27:E29)</f>
        <v>16264</v>
      </c>
      <c r="F30" s="23">
        <f t="shared" si="12"/>
        <v>16095</v>
      </c>
      <c r="G30" s="23">
        <f t="shared" si="12"/>
        <v>14626</v>
      </c>
      <c r="H30" s="23">
        <f t="shared" si="12"/>
        <v>13318</v>
      </c>
    </row>
    <row r="31" spans="1:9" x14ac:dyDescent="0.2">
      <c r="A31" s="13"/>
      <c r="B31" s="3"/>
      <c r="C31" s="3"/>
      <c r="D31" s="3"/>
      <c r="E31" s="3"/>
      <c r="F31" s="3"/>
      <c r="G31" s="3"/>
      <c r="H31" s="3"/>
    </row>
    <row r="32" spans="1:9" x14ac:dyDescent="0.2">
      <c r="A32" s="23" t="s">
        <v>66</v>
      </c>
      <c r="B32" s="23">
        <f t="shared" ref="B32:C32" si="13">B30+B25+B20</f>
        <v>59697</v>
      </c>
      <c r="C32" s="23">
        <f t="shared" si="13"/>
        <v>59447</v>
      </c>
      <c r="D32" s="23">
        <f t="shared" ref="D32:E32" si="14">D30+D25+D20</f>
        <v>52652</v>
      </c>
      <c r="E32" s="23">
        <f t="shared" si="14"/>
        <v>52712</v>
      </c>
      <c r="F32" s="23">
        <f t="shared" ref="F32:H32" si="15">F30+F25+F20</f>
        <v>52111</v>
      </c>
      <c r="G32" s="23">
        <f t="shared" si="15"/>
        <v>51883</v>
      </c>
      <c r="H32" s="23">
        <f t="shared" si="15"/>
        <v>50361</v>
      </c>
    </row>
    <row r="33" spans="1:8" x14ac:dyDescent="0.2">
      <c r="A33" s="3"/>
      <c r="B33" s="3"/>
      <c r="C33" s="3"/>
      <c r="D33" s="3"/>
      <c r="E33" s="3"/>
      <c r="F33" s="3"/>
      <c r="G33" s="3"/>
      <c r="H33" s="3"/>
    </row>
    <row r="34" spans="1:8" x14ac:dyDescent="0.2">
      <c r="A34" s="3" t="s">
        <v>67</v>
      </c>
      <c r="B34" s="39">
        <v>-0.86</v>
      </c>
      <c r="C34" s="39">
        <v>-0.75</v>
      </c>
      <c r="D34" s="39">
        <v>-0.52</v>
      </c>
      <c r="E34" s="39">
        <v>-0.16</v>
      </c>
      <c r="F34" s="39">
        <v>-0.14000000000000001</v>
      </c>
      <c r="G34" s="39">
        <v>0.04</v>
      </c>
      <c r="H34" s="39">
        <v>0.2</v>
      </c>
    </row>
    <row r="35" spans="1:8" x14ac:dyDescent="0.2">
      <c r="A35" s="3" t="s">
        <v>68</v>
      </c>
      <c r="B35" s="11">
        <v>17222</v>
      </c>
      <c r="C35" s="11">
        <v>17768</v>
      </c>
      <c r="D35" s="11">
        <v>12324</v>
      </c>
      <c r="E35" s="11">
        <v>12746</v>
      </c>
      <c r="F35" s="11">
        <v>11843</v>
      </c>
      <c r="G35" s="11">
        <v>11548</v>
      </c>
      <c r="H35" s="11">
        <v>10518</v>
      </c>
    </row>
    <row r="36" spans="1:8" x14ac:dyDescent="0.2">
      <c r="A36" s="3" t="s">
        <v>69</v>
      </c>
      <c r="B36" s="11">
        <v>40816</v>
      </c>
      <c r="C36" s="11">
        <v>40547</v>
      </c>
      <c r="D36" s="11">
        <f>D22+D23+D27+D28</f>
        <v>35395</v>
      </c>
      <c r="E36" s="11">
        <f>E22+E23+E27+E28</f>
        <v>32924</v>
      </c>
      <c r="F36" s="11">
        <v>33122</v>
      </c>
      <c r="G36" s="11">
        <v>32322</v>
      </c>
      <c r="H36" s="11">
        <v>29782</v>
      </c>
    </row>
  </sheetData>
  <pageMargins left="0.31496062992125984" right="0.31496062992125984" top="0.74803149606299213" bottom="0.35433070866141736" header="0.31496062992125984" footer="0.11811023622047245"/>
  <pageSetup paperSize="9" scale="66" orientation="portrait" r:id="rId1"/>
  <headerFooter>
    <oddFooter>&amp;L&amp;8Bokslut 2017-18/PKQ4/&amp;F/&amp;A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1"/>
  <sheetViews>
    <sheetView zoomScaleNormal="100" workbookViewId="0">
      <selection activeCell="G47" sqref="G47"/>
    </sheetView>
  </sheetViews>
  <sheetFormatPr defaultColWidth="9.140625" defaultRowHeight="12" x14ac:dyDescent="0.2"/>
  <cols>
    <col min="1" max="1" width="52.85546875" style="19" customWidth="1"/>
    <col min="2" max="9" width="9.140625" style="19" customWidth="1"/>
    <col min="10" max="16384" width="9.140625" style="19"/>
  </cols>
  <sheetData>
    <row r="1" spans="1:9" ht="26.25" x14ac:dyDescent="0.4">
      <c r="A1" s="29" t="s">
        <v>0</v>
      </c>
    </row>
    <row r="4" spans="1:9" x14ac:dyDescent="0.2">
      <c r="A4" s="30"/>
      <c r="B4" s="20"/>
      <c r="C4" s="20"/>
      <c r="D4" s="20"/>
      <c r="E4" s="20"/>
      <c r="F4" s="20"/>
      <c r="G4" s="20"/>
      <c r="H4" s="20"/>
      <c r="I4" s="20"/>
    </row>
    <row r="5" spans="1:9" x14ac:dyDescent="0.2">
      <c r="A5" s="31"/>
      <c r="B5" s="32">
        <v>2022</v>
      </c>
      <c r="C5" s="32">
        <v>2022</v>
      </c>
      <c r="D5" s="32" t="s">
        <v>113</v>
      </c>
      <c r="E5" s="32">
        <v>2021</v>
      </c>
      <c r="F5" s="21">
        <v>2021</v>
      </c>
      <c r="G5" s="21">
        <v>2021</v>
      </c>
      <c r="H5" s="21">
        <v>2021</v>
      </c>
      <c r="I5" s="21" t="s">
        <v>108</v>
      </c>
    </row>
    <row r="6" spans="1:9" x14ac:dyDescent="0.2">
      <c r="A6" s="30" t="s">
        <v>70</v>
      </c>
      <c r="B6" s="15" t="s">
        <v>2</v>
      </c>
      <c r="C6" s="15" t="s">
        <v>5</v>
      </c>
      <c r="D6" s="20" t="s">
        <v>4</v>
      </c>
      <c r="E6" s="20" t="s">
        <v>4</v>
      </c>
      <c r="F6" s="15" t="s">
        <v>3</v>
      </c>
      <c r="G6" s="15" t="s">
        <v>2</v>
      </c>
      <c r="H6" s="15" t="s">
        <v>5</v>
      </c>
      <c r="I6" s="15" t="s">
        <v>4</v>
      </c>
    </row>
    <row r="7" spans="1:9" x14ac:dyDescent="0.2">
      <c r="A7" s="32" t="s">
        <v>6</v>
      </c>
      <c r="B7" s="2" t="s">
        <v>7</v>
      </c>
      <c r="C7" s="2" t="s">
        <v>10</v>
      </c>
      <c r="D7" s="2" t="s">
        <v>9</v>
      </c>
      <c r="E7" s="2" t="s">
        <v>8</v>
      </c>
      <c r="F7" s="2" t="s">
        <v>8</v>
      </c>
      <c r="G7" s="2" t="s">
        <v>7</v>
      </c>
      <c r="H7" s="2" t="s">
        <v>10</v>
      </c>
      <c r="I7" s="2" t="s">
        <v>9</v>
      </c>
    </row>
    <row r="8" spans="1:9" x14ac:dyDescent="0.2">
      <c r="A8" s="1" t="s">
        <v>31</v>
      </c>
      <c r="B8" s="3">
        <v>-1991</v>
      </c>
      <c r="C8" s="3">
        <v>-1557</v>
      </c>
      <c r="D8" s="3">
        <v>-2597</v>
      </c>
      <c r="E8" s="3">
        <v>-6525</v>
      </c>
      <c r="F8" s="3">
        <v>-945</v>
      </c>
      <c r="G8" s="3">
        <f>-1358+24</f>
        <v>-1334</v>
      </c>
      <c r="H8" s="3">
        <f>-2361+30</f>
        <v>-2331</v>
      </c>
      <c r="I8" s="3">
        <f>-1936+21</f>
        <v>-1915</v>
      </c>
    </row>
    <row r="9" spans="1:9" x14ac:dyDescent="0.2">
      <c r="A9" s="1" t="s">
        <v>71</v>
      </c>
      <c r="B9" s="3">
        <v>1166</v>
      </c>
      <c r="C9" s="3">
        <v>1162</v>
      </c>
      <c r="D9" s="3">
        <v>1183</v>
      </c>
      <c r="E9" s="3">
        <v>4817</v>
      </c>
      <c r="F9" s="3">
        <v>1212</v>
      </c>
      <c r="G9" s="3">
        <f>1198-30</f>
        <v>1168</v>
      </c>
      <c r="H9" s="3">
        <f>1202-30</f>
        <v>1172</v>
      </c>
      <c r="I9" s="3">
        <f>1295-30</f>
        <v>1265</v>
      </c>
    </row>
    <row r="10" spans="1:9" x14ac:dyDescent="0.2">
      <c r="A10" s="1" t="s">
        <v>72</v>
      </c>
      <c r="B10" s="3">
        <v>-89</v>
      </c>
      <c r="C10" s="3">
        <v>-56</v>
      </c>
      <c r="D10" s="3">
        <v>-24</v>
      </c>
      <c r="E10" s="3">
        <v>143</v>
      </c>
      <c r="F10" s="3">
        <v>34</v>
      </c>
      <c r="G10" s="3">
        <v>121</v>
      </c>
      <c r="H10" s="3">
        <v>0</v>
      </c>
      <c r="I10" s="3">
        <v>-12</v>
      </c>
    </row>
    <row r="11" spans="1:9" x14ac:dyDescent="0.2">
      <c r="A11" s="24" t="s">
        <v>73</v>
      </c>
      <c r="B11" s="3">
        <v>629</v>
      </c>
      <c r="C11" s="3">
        <v>343</v>
      </c>
      <c r="D11" s="3">
        <v>762</v>
      </c>
      <c r="E11" s="3">
        <v>-515</v>
      </c>
      <c r="F11" s="3">
        <v>115</v>
      </c>
      <c r="G11" s="3">
        <v>46</v>
      </c>
      <c r="H11" s="3">
        <v>-74</v>
      </c>
      <c r="I11" s="3">
        <v>-602</v>
      </c>
    </row>
    <row r="12" spans="1:9" x14ac:dyDescent="0.2">
      <c r="A12" s="32" t="s">
        <v>74</v>
      </c>
      <c r="B12" s="4">
        <v>0</v>
      </c>
      <c r="C12" s="4">
        <v>0</v>
      </c>
      <c r="D12" s="4">
        <v>0</v>
      </c>
      <c r="E12" s="4">
        <v>-2</v>
      </c>
      <c r="F12" s="4">
        <v>0</v>
      </c>
      <c r="G12" s="4">
        <v>0</v>
      </c>
      <c r="H12" s="4">
        <v>0</v>
      </c>
      <c r="I12" s="4">
        <v>-2</v>
      </c>
    </row>
    <row r="13" spans="1:9" x14ac:dyDescent="0.2">
      <c r="A13" s="27" t="s">
        <v>75</v>
      </c>
      <c r="B13" s="13">
        <f t="shared" ref="B13:C13" si="0">SUM(B8:B12)</f>
        <v>-285</v>
      </c>
      <c r="C13" s="13">
        <f t="shared" si="0"/>
        <v>-108</v>
      </c>
      <c r="D13" s="13">
        <f t="shared" ref="D13:E13" si="1">SUM(D8:D12)</f>
        <v>-676</v>
      </c>
      <c r="E13" s="13">
        <f t="shared" si="1"/>
        <v>-2082</v>
      </c>
      <c r="F13" s="13">
        <f t="shared" ref="F13" si="2">SUM(F8:F12)</f>
        <v>416</v>
      </c>
      <c r="G13" s="13">
        <f t="shared" ref="G13:I13" si="3">SUM(G8:G12)</f>
        <v>1</v>
      </c>
      <c r="H13" s="13">
        <f t="shared" si="3"/>
        <v>-1233</v>
      </c>
      <c r="I13" s="13">
        <f t="shared" si="3"/>
        <v>-1266</v>
      </c>
    </row>
    <row r="14" spans="1:9" x14ac:dyDescent="0.2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">
      <c r="A15" s="32" t="s">
        <v>76</v>
      </c>
      <c r="B15" s="4">
        <v>-707</v>
      </c>
      <c r="C15" s="4">
        <v>2567</v>
      </c>
      <c r="D15" s="4">
        <v>562</v>
      </c>
      <c r="E15" s="4">
        <v>-2653</v>
      </c>
      <c r="F15" s="4">
        <v>659</v>
      </c>
      <c r="G15" s="4">
        <v>538</v>
      </c>
      <c r="H15" s="4">
        <v>-170</v>
      </c>
      <c r="I15" s="4">
        <v>-3680</v>
      </c>
    </row>
    <row r="16" spans="1:9" x14ac:dyDescent="0.2">
      <c r="A16" s="27" t="s">
        <v>77</v>
      </c>
      <c r="B16" s="13">
        <f t="shared" ref="B16:C16" si="4">B13+B15</f>
        <v>-992</v>
      </c>
      <c r="C16" s="13">
        <f t="shared" si="4"/>
        <v>2459</v>
      </c>
      <c r="D16" s="13">
        <f t="shared" ref="D16:E16" si="5">D13+D15</f>
        <v>-114</v>
      </c>
      <c r="E16" s="13">
        <f t="shared" si="5"/>
        <v>-4735</v>
      </c>
      <c r="F16" s="13">
        <f t="shared" ref="F16" si="6">F13+F15</f>
        <v>1075</v>
      </c>
      <c r="G16" s="13">
        <f t="shared" ref="G16:I16" si="7">G13+G15</f>
        <v>539</v>
      </c>
      <c r="H16" s="13">
        <f t="shared" si="7"/>
        <v>-1403</v>
      </c>
      <c r="I16" s="13">
        <f t="shared" si="7"/>
        <v>-4946</v>
      </c>
    </row>
    <row r="17" spans="1:9" x14ac:dyDescent="0.2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">
      <c r="A18" s="1" t="s">
        <v>78</v>
      </c>
      <c r="B18" s="3">
        <v>-1464</v>
      </c>
      <c r="C18" s="3">
        <v>-1416</v>
      </c>
      <c r="D18" s="3">
        <v>-857</v>
      </c>
      <c r="E18" s="3">
        <v>-4104</v>
      </c>
      <c r="F18" s="3">
        <v>-363</v>
      </c>
      <c r="G18" s="3">
        <f>-1388+6</f>
        <v>-1382</v>
      </c>
      <c r="H18" s="3">
        <v>-1584</v>
      </c>
      <c r="I18" s="3">
        <f>-784+9</f>
        <v>-775</v>
      </c>
    </row>
    <row r="19" spans="1:9" x14ac:dyDescent="0.2">
      <c r="A19" s="1" t="s">
        <v>105</v>
      </c>
      <c r="B19" s="3">
        <v>0</v>
      </c>
      <c r="C19" s="3">
        <v>0</v>
      </c>
      <c r="D19" s="3">
        <v>0</v>
      </c>
      <c r="E19" s="3">
        <v>-1</v>
      </c>
      <c r="F19" s="3">
        <v>0</v>
      </c>
      <c r="G19" s="3">
        <v>0</v>
      </c>
      <c r="H19" s="3">
        <v>-1</v>
      </c>
      <c r="I19" s="3">
        <v>0</v>
      </c>
    </row>
    <row r="20" spans="1:9" x14ac:dyDescent="0.2">
      <c r="A20" s="1" t="s">
        <v>79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</row>
    <row r="21" spans="1:9" x14ac:dyDescent="0.2">
      <c r="A21" s="32" t="s">
        <v>80</v>
      </c>
      <c r="B21" s="4">
        <f>2064-80</f>
        <v>1984</v>
      </c>
      <c r="C21" s="4">
        <f>1512+44</f>
        <v>1556</v>
      </c>
      <c r="D21" s="4">
        <v>579</v>
      </c>
      <c r="E21" s="4">
        <v>2568</v>
      </c>
      <c r="F21" s="4">
        <v>429</v>
      </c>
      <c r="G21" s="4">
        <v>1810</v>
      </c>
      <c r="H21" s="4">
        <v>66</v>
      </c>
      <c r="I21" s="4">
        <v>263</v>
      </c>
    </row>
    <row r="22" spans="1:9" x14ac:dyDescent="0.2">
      <c r="A22" s="27" t="s">
        <v>81</v>
      </c>
      <c r="B22" s="13">
        <f>SUM(B18:B21)+B16</f>
        <v>-472</v>
      </c>
      <c r="C22" s="13">
        <f>SUM(C18:C21)+C16</f>
        <v>2599</v>
      </c>
      <c r="D22" s="13">
        <f>SUM(D18:D21)+D16</f>
        <v>-392</v>
      </c>
      <c r="E22" s="13">
        <f>SUM(E18:E21)+E16</f>
        <v>-6272</v>
      </c>
      <c r="F22" s="13">
        <f t="shared" ref="F22" si="8">SUM(F18:F21)+F16</f>
        <v>1141</v>
      </c>
      <c r="G22" s="13">
        <f>SUM(G18:G21)+G16</f>
        <v>967</v>
      </c>
      <c r="H22" s="13">
        <f>SUM(H18:H21)+H16</f>
        <v>-2922</v>
      </c>
      <c r="I22" s="13">
        <f>SUM(I18:I21)+I16</f>
        <v>-5458</v>
      </c>
    </row>
    <row r="23" spans="1:9" x14ac:dyDescent="0.2">
      <c r="A23" s="1"/>
      <c r="B23" s="3"/>
      <c r="C23" s="3"/>
      <c r="D23" s="3"/>
      <c r="E23" s="3"/>
      <c r="F23" s="3"/>
      <c r="G23" s="3"/>
      <c r="H23" s="3"/>
      <c r="I23" s="3"/>
    </row>
    <row r="24" spans="1:9" x14ac:dyDescent="0.2">
      <c r="A24" s="1" t="s">
        <v>82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</row>
    <row r="25" spans="1:9" x14ac:dyDescent="0.2">
      <c r="A25" s="1" t="s">
        <v>83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</row>
    <row r="26" spans="1:9" x14ac:dyDescent="0.2">
      <c r="A26" s="24" t="s">
        <v>102</v>
      </c>
      <c r="B26" s="33">
        <v>-619</v>
      </c>
      <c r="C26" s="33">
        <v>-801</v>
      </c>
      <c r="D26" s="33">
        <v>-639</v>
      </c>
      <c r="E26" s="33">
        <v>-2809</v>
      </c>
      <c r="F26" s="9">
        <v>-612</v>
      </c>
      <c r="G26" s="9">
        <v>-611</v>
      </c>
      <c r="H26" s="9">
        <v>-728</v>
      </c>
      <c r="I26" s="9">
        <v>-875</v>
      </c>
    </row>
    <row r="27" spans="1:9" x14ac:dyDescent="0.2">
      <c r="A27" s="24" t="s">
        <v>84</v>
      </c>
      <c r="B27" s="3">
        <v>-1239</v>
      </c>
      <c r="C27" s="3">
        <v>3241</v>
      </c>
      <c r="D27" s="3">
        <f>89-138+249</f>
        <v>200</v>
      </c>
      <c r="E27" s="3">
        <f>5319-2562-274+634</f>
        <v>3117</v>
      </c>
      <c r="F27" s="17">
        <f>719-964-138-302</f>
        <v>-685</v>
      </c>
      <c r="G27" s="17">
        <v>-352</v>
      </c>
      <c r="H27" s="17">
        <v>3337</v>
      </c>
      <c r="I27" s="17">
        <v>834</v>
      </c>
    </row>
    <row r="28" spans="1:9" x14ac:dyDescent="0.2">
      <c r="A28" s="25" t="s">
        <v>85</v>
      </c>
      <c r="B28" s="23">
        <f t="shared" ref="B28:C28" si="9">SUM(B22:B27)</f>
        <v>-2330</v>
      </c>
      <c r="C28" s="23">
        <f t="shared" si="9"/>
        <v>5039</v>
      </c>
      <c r="D28" s="23">
        <f t="shared" ref="D28:E28" si="10">SUM(D22:D27)</f>
        <v>-831</v>
      </c>
      <c r="E28" s="23">
        <f t="shared" si="10"/>
        <v>-5964</v>
      </c>
      <c r="F28" s="23">
        <f t="shared" ref="F28" si="11">SUM(F22:F27)</f>
        <v>-156</v>
      </c>
      <c r="G28" s="23">
        <f t="shared" ref="G28:I28" si="12">SUM(G22:G27)</f>
        <v>4</v>
      </c>
      <c r="H28" s="23">
        <f t="shared" si="12"/>
        <v>-313</v>
      </c>
      <c r="I28" s="23">
        <f t="shared" si="12"/>
        <v>-5499</v>
      </c>
    </row>
    <row r="29" spans="1:9" x14ac:dyDescent="0.2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">
      <c r="A30" s="32" t="s">
        <v>86</v>
      </c>
      <c r="B30" s="4">
        <v>0</v>
      </c>
      <c r="C30" s="4">
        <v>1</v>
      </c>
      <c r="D30" s="4">
        <v>1</v>
      </c>
      <c r="E30" s="4">
        <v>1</v>
      </c>
      <c r="F30" s="4">
        <v>0</v>
      </c>
      <c r="G30" s="4">
        <v>0</v>
      </c>
      <c r="H30" s="4">
        <v>1</v>
      </c>
      <c r="I30" s="4">
        <v>0</v>
      </c>
    </row>
    <row r="31" spans="1:9" x14ac:dyDescent="0.2">
      <c r="A31" s="27" t="s">
        <v>87</v>
      </c>
      <c r="B31" s="13">
        <f>SUM(B28:B30)</f>
        <v>-2330</v>
      </c>
      <c r="C31" s="13">
        <f>SUM(C28:C30)</f>
        <v>5040</v>
      </c>
      <c r="D31" s="13">
        <f>SUM(D28:D30)</f>
        <v>-830</v>
      </c>
      <c r="E31" s="13">
        <f>SUM(E28:E30)</f>
        <v>-5963</v>
      </c>
      <c r="F31" s="13">
        <f>SUM(F28:F30)</f>
        <v>-156</v>
      </c>
      <c r="G31" s="13">
        <f t="shared" ref="G31:I31" si="13">SUM(G28:G30)</f>
        <v>4</v>
      </c>
      <c r="H31" s="13">
        <f t="shared" si="13"/>
        <v>-312</v>
      </c>
      <c r="I31" s="13">
        <f t="shared" si="13"/>
        <v>-5499</v>
      </c>
    </row>
  </sheetData>
  <pageMargins left="0.31496062992125984" right="0.31496062992125984" top="0.74803149606299213" bottom="0.35433070866141736" header="0.31496062992125984" footer="0.11811023622047245"/>
  <pageSetup paperSize="9" scale="59" orientation="portrait" r:id="rId1"/>
  <headerFooter>
    <oddFooter>&amp;L&amp;8Bokslut 2017-18/PKQ4/&amp;F/&amp;A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F515B-9079-48D5-AC50-045F589B6ADA}">
  <dimension ref="A1:AH61"/>
  <sheetViews>
    <sheetView tabSelected="1" topLeftCell="A6" workbookViewId="0">
      <selection activeCell="I39" sqref="I39"/>
    </sheetView>
  </sheetViews>
  <sheetFormatPr defaultRowHeight="15" x14ac:dyDescent="0.25"/>
  <cols>
    <col min="1" max="1" width="32" bestFit="1" customWidth="1"/>
    <col min="2" max="2" width="4.85546875" customWidth="1"/>
    <col min="3" max="5" width="9.5703125" style="104" customWidth="1"/>
    <col min="6" max="6" width="3.85546875" style="41" customWidth="1"/>
    <col min="7" max="7" width="9.5703125" style="41" bestFit="1" customWidth="1"/>
    <col min="8" max="9" width="9.5703125" bestFit="1" customWidth="1"/>
    <col min="10" max="10" width="4.85546875" customWidth="1"/>
    <col min="11" max="11" width="9.5703125" style="41" bestFit="1" customWidth="1"/>
    <col min="12" max="13" width="9.5703125" bestFit="1" customWidth="1"/>
    <col min="14" max="14" width="3.28515625" customWidth="1"/>
    <col min="15" max="17" width="9.5703125" bestFit="1" customWidth="1"/>
    <col min="18" max="18" width="3.28515625" customWidth="1"/>
    <col min="19" max="21" width="9.5703125" bestFit="1" customWidth="1"/>
    <col min="22" max="22" width="3.42578125" customWidth="1"/>
    <col min="23" max="24" width="9.5703125" bestFit="1" customWidth="1"/>
    <col min="26" max="26" width="2.7109375" customWidth="1"/>
    <col min="27" max="29" width="9.5703125" bestFit="1" customWidth="1"/>
    <col min="30" max="30" width="2.7109375" customWidth="1"/>
    <col min="31" max="32" width="9.5703125" bestFit="1" customWidth="1"/>
  </cols>
  <sheetData>
    <row r="1" spans="1:34" x14ac:dyDescent="0.25">
      <c r="A1" s="42"/>
      <c r="B1" s="42"/>
      <c r="H1" s="42"/>
      <c r="I1" s="43"/>
      <c r="J1" s="42"/>
      <c r="L1" s="42"/>
      <c r="M1" s="43"/>
      <c r="N1" s="42"/>
      <c r="O1" s="42"/>
      <c r="P1" s="42"/>
      <c r="Q1" s="43"/>
      <c r="R1" s="101"/>
      <c r="S1" s="101"/>
      <c r="T1" s="42"/>
      <c r="U1" s="43"/>
      <c r="V1" s="101"/>
      <c r="W1" s="101"/>
      <c r="X1" s="42"/>
      <c r="Y1" s="42"/>
      <c r="Z1" s="101"/>
      <c r="AA1" s="101"/>
      <c r="AB1" s="43"/>
      <c r="AC1" s="42"/>
      <c r="AD1" s="101"/>
      <c r="AE1" s="101"/>
      <c r="AF1" s="42"/>
      <c r="AG1" s="42"/>
      <c r="AH1" s="42"/>
    </row>
    <row r="2" spans="1:34" x14ac:dyDescent="0.25">
      <c r="A2" s="42"/>
      <c r="B2" s="42"/>
      <c r="H2" s="42"/>
      <c r="I2" s="43"/>
      <c r="J2" s="42"/>
      <c r="L2" s="42"/>
      <c r="M2" s="43"/>
      <c r="N2" s="42"/>
      <c r="O2" s="42"/>
      <c r="P2" s="42"/>
      <c r="Q2" s="43"/>
      <c r="R2" s="101"/>
      <c r="S2" s="101"/>
      <c r="T2" s="42"/>
      <c r="U2" s="43"/>
      <c r="V2" s="101"/>
      <c r="W2" s="101"/>
      <c r="X2" s="42"/>
      <c r="Y2" s="42"/>
      <c r="Z2" s="101"/>
      <c r="AA2" s="101"/>
      <c r="AB2" s="43"/>
      <c r="AC2" s="42"/>
      <c r="AD2" s="42"/>
      <c r="AE2" s="42" t="s">
        <v>139</v>
      </c>
      <c r="AF2" s="42" t="s">
        <v>139</v>
      </c>
      <c r="AG2" s="42"/>
      <c r="AH2" s="42"/>
    </row>
    <row r="3" spans="1:34" ht="18.75" x14ac:dyDescent="0.3">
      <c r="A3" s="70" t="s">
        <v>138</v>
      </c>
      <c r="B3" s="66"/>
      <c r="C3" s="102" t="s">
        <v>113</v>
      </c>
      <c r="D3" s="102" t="s">
        <v>108</v>
      </c>
      <c r="E3" s="111"/>
      <c r="F3" s="90"/>
      <c r="G3" s="64" t="s">
        <v>113</v>
      </c>
      <c r="H3" s="64" t="s">
        <v>108</v>
      </c>
      <c r="I3" s="89"/>
      <c r="J3" s="66"/>
      <c r="K3" s="64" t="s">
        <v>113</v>
      </c>
      <c r="L3" s="64" t="s">
        <v>108</v>
      </c>
      <c r="M3" s="89"/>
      <c r="N3" s="42"/>
      <c r="O3" s="64" t="s">
        <v>108</v>
      </c>
      <c r="P3" s="64" t="s">
        <v>88</v>
      </c>
      <c r="Q3" s="89"/>
      <c r="R3" s="42"/>
      <c r="S3" s="64" t="s">
        <v>108</v>
      </c>
      <c r="T3" s="64" t="s">
        <v>88</v>
      </c>
      <c r="U3" s="89"/>
      <c r="V3" s="42"/>
      <c r="W3" s="64" t="s">
        <v>108</v>
      </c>
      <c r="X3" s="64" t="s">
        <v>88</v>
      </c>
      <c r="Y3" s="89"/>
      <c r="Z3" s="42"/>
      <c r="AA3" s="64" t="s">
        <v>108</v>
      </c>
      <c r="AB3" s="64" t="s">
        <v>88</v>
      </c>
      <c r="AC3" s="64"/>
      <c r="AD3" s="64"/>
      <c r="AE3" s="64" t="s">
        <v>108</v>
      </c>
      <c r="AF3" s="64" t="s">
        <v>88</v>
      </c>
      <c r="AG3" s="42"/>
      <c r="AH3" s="42"/>
    </row>
    <row r="4" spans="1:34" ht="18.75" x14ac:dyDescent="0.3">
      <c r="A4" s="66"/>
      <c r="B4" s="66"/>
      <c r="C4" s="103" t="s">
        <v>2</v>
      </c>
      <c r="D4" s="103" t="s">
        <v>2</v>
      </c>
      <c r="E4" s="111"/>
      <c r="F4" s="68"/>
      <c r="G4" s="68" t="s">
        <v>5</v>
      </c>
      <c r="H4" s="68" t="s">
        <v>5</v>
      </c>
      <c r="I4" s="89"/>
      <c r="J4" s="66"/>
      <c r="K4" s="68" t="s">
        <v>4</v>
      </c>
      <c r="L4" s="68" t="s">
        <v>4</v>
      </c>
      <c r="M4" s="89"/>
      <c r="N4" s="42"/>
      <c r="O4" s="68" t="s">
        <v>3</v>
      </c>
      <c r="P4" s="68" t="s">
        <v>3</v>
      </c>
      <c r="Q4" s="89"/>
      <c r="R4" s="42"/>
      <c r="S4" s="68" t="s">
        <v>2</v>
      </c>
      <c r="T4" s="68" t="s">
        <v>2</v>
      </c>
      <c r="U4" s="89"/>
      <c r="V4" s="42"/>
      <c r="W4" s="68" t="s">
        <v>5</v>
      </c>
      <c r="X4" s="68" t="s">
        <v>5</v>
      </c>
      <c r="Y4" s="89"/>
      <c r="Z4" s="42"/>
      <c r="AA4" s="68" t="s">
        <v>4</v>
      </c>
      <c r="AB4" s="68" t="s">
        <v>4</v>
      </c>
      <c r="AC4" s="42"/>
      <c r="AD4" s="42"/>
      <c r="AE4" s="68" t="s">
        <v>4</v>
      </c>
      <c r="AF4" s="68" t="s">
        <v>4</v>
      </c>
      <c r="AG4" s="42"/>
      <c r="AH4" s="42"/>
    </row>
    <row r="5" spans="1:34" x14ac:dyDescent="0.25">
      <c r="A5" s="78" t="s">
        <v>137</v>
      </c>
      <c r="B5" s="73"/>
      <c r="C5" s="102" t="s">
        <v>7</v>
      </c>
      <c r="D5" s="102" t="s">
        <v>7</v>
      </c>
      <c r="E5" s="96"/>
      <c r="F5" s="90"/>
      <c r="G5" s="64" t="s">
        <v>10</v>
      </c>
      <c r="H5" s="64" t="s">
        <v>10</v>
      </c>
      <c r="I5" s="49"/>
      <c r="J5" s="73"/>
      <c r="K5" s="64" t="s">
        <v>9</v>
      </c>
      <c r="L5" s="64" t="s">
        <v>9</v>
      </c>
      <c r="M5" s="49"/>
      <c r="N5" s="42"/>
      <c r="O5" s="64" t="s">
        <v>8</v>
      </c>
      <c r="P5" s="64" t="s">
        <v>8</v>
      </c>
      <c r="Q5" s="49"/>
      <c r="R5" s="42"/>
      <c r="S5" s="64" t="s">
        <v>7</v>
      </c>
      <c r="T5" s="64" t="s">
        <v>7</v>
      </c>
      <c r="U5" s="49"/>
      <c r="V5" s="42"/>
      <c r="W5" s="64" t="s">
        <v>10</v>
      </c>
      <c r="X5" s="64" t="s">
        <v>10</v>
      </c>
      <c r="Y5" s="49"/>
      <c r="Z5" s="42"/>
      <c r="AA5" s="64" t="s">
        <v>9</v>
      </c>
      <c r="AB5" s="64" t="s">
        <v>9</v>
      </c>
      <c r="AC5" s="42"/>
      <c r="AD5" s="42"/>
      <c r="AE5" s="64" t="s">
        <v>8</v>
      </c>
      <c r="AF5" s="64" t="s">
        <v>8</v>
      </c>
      <c r="AG5" s="42"/>
      <c r="AH5" s="42"/>
    </row>
    <row r="6" spans="1:34" x14ac:dyDescent="0.25">
      <c r="A6" s="83" t="s">
        <v>21</v>
      </c>
      <c r="B6" s="81"/>
      <c r="C6" s="98">
        <f>-10081-C7-C8-C9</f>
        <v>-8647</v>
      </c>
      <c r="D6" s="98">
        <f>-3986-D7-D8-D9</f>
        <v>-3551</v>
      </c>
      <c r="E6" s="96"/>
      <c r="F6" s="53"/>
      <c r="G6" s="53">
        <v>-6713</v>
      </c>
      <c r="H6" s="52">
        <v>-2778</v>
      </c>
      <c r="I6" s="50"/>
      <c r="J6" s="81"/>
      <c r="K6" s="53">
        <f>-6181-K7-K8-K9</f>
        <v>-5717</v>
      </c>
      <c r="L6" s="53">
        <f>-3901-L7-L8-L9</f>
        <v>-3209</v>
      </c>
      <c r="M6" s="49"/>
      <c r="N6" s="42"/>
      <c r="O6" s="52">
        <f>'[1]Income Statement'!J24+'[1]Income Statement'!J34</f>
        <v>-5812</v>
      </c>
      <c r="P6" s="71">
        <f>'[1]Income Statement'!E24+'[1]Income Statement'!E34</f>
        <v>-5317</v>
      </c>
      <c r="Q6" s="49"/>
      <c r="R6" s="42"/>
      <c r="S6" s="52">
        <v>-4330</v>
      </c>
      <c r="T6" s="52">
        <v>-3716</v>
      </c>
      <c r="U6" s="49"/>
      <c r="V6" s="42"/>
      <c r="W6" s="52">
        <v>-3577</v>
      </c>
      <c r="X6" s="52">
        <v>-8067</v>
      </c>
      <c r="Y6" s="49"/>
      <c r="Z6" s="42"/>
      <c r="AA6" s="52">
        <v>-4048</v>
      </c>
      <c r="AB6" s="71">
        <v>-9914</v>
      </c>
      <c r="AC6" s="42"/>
      <c r="AD6" s="42"/>
      <c r="AE6" s="52">
        <v>-11955</v>
      </c>
      <c r="AF6" s="52">
        <v>-21697</v>
      </c>
      <c r="AG6" s="42"/>
      <c r="AH6" s="42"/>
    </row>
    <row r="7" spans="1:34" x14ac:dyDescent="0.25">
      <c r="A7" s="83" t="s">
        <v>136</v>
      </c>
      <c r="B7" s="81"/>
      <c r="C7" s="98">
        <v>-15</v>
      </c>
      <c r="D7" s="104">
        <v>1</v>
      </c>
      <c r="E7" s="96"/>
      <c r="F7" s="53"/>
      <c r="G7" s="53">
        <v>5</v>
      </c>
      <c r="H7" s="42">
        <v>-1</v>
      </c>
      <c r="I7" s="50"/>
      <c r="J7" s="81"/>
      <c r="K7" s="53">
        <v>-2</v>
      </c>
      <c r="L7" s="56">
        <v>28</v>
      </c>
      <c r="M7" s="49"/>
      <c r="N7" s="42"/>
      <c r="O7" s="52">
        <f>'[1]Income Statement'!J29</f>
        <v>-3</v>
      </c>
      <c r="P7" s="71">
        <f>'[1]Income Statement'!E29</f>
        <v>15</v>
      </c>
      <c r="Q7" s="49"/>
      <c r="R7" s="42"/>
      <c r="S7" s="42">
        <v>2</v>
      </c>
      <c r="T7" s="42">
        <v>0</v>
      </c>
      <c r="U7" s="49"/>
      <c r="V7" s="42"/>
      <c r="W7" s="42">
        <v>-1</v>
      </c>
      <c r="X7" s="42">
        <v>-18</v>
      </c>
      <c r="Y7" s="49"/>
      <c r="Z7" s="42"/>
      <c r="AA7" s="42">
        <v>28</v>
      </c>
      <c r="AB7" s="43">
        <v>-62</v>
      </c>
      <c r="AC7" s="42"/>
      <c r="AD7" s="42"/>
      <c r="AE7" s="42">
        <v>29</v>
      </c>
      <c r="AF7" s="42">
        <v>-80</v>
      </c>
      <c r="AG7" s="42"/>
      <c r="AH7" s="42"/>
    </row>
    <row r="8" spans="1:34" x14ac:dyDescent="0.25">
      <c r="A8" s="83" t="s">
        <v>135</v>
      </c>
      <c r="B8" s="81"/>
      <c r="C8" s="98">
        <f>-348-818</f>
        <v>-1166</v>
      </c>
      <c r="D8" s="104">
        <f>-382-786</f>
        <v>-1168</v>
      </c>
      <c r="E8" s="96"/>
      <c r="F8" s="53"/>
      <c r="G8" s="53">
        <f>SUM('[2]Income Statement'!N32:N34)</f>
        <v>-1162.2932302739205</v>
      </c>
      <c r="H8" s="42">
        <f>-374-797</f>
        <v>-1171</v>
      </c>
      <c r="I8" s="50"/>
      <c r="J8" s="81"/>
      <c r="K8" s="53">
        <v>-1183</v>
      </c>
      <c r="L8" s="56">
        <v>-1265</v>
      </c>
      <c r="M8" s="49"/>
      <c r="N8" s="42"/>
      <c r="O8" s="52">
        <f>'[1]Income Statement'!J32+'[1]Income Statement'!J33</f>
        <v>-389</v>
      </c>
      <c r="P8" s="71">
        <f>'[1]Income Statement'!E32+'[1]Income Statement'!E33</f>
        <v>-458</v>
      </c>
      <c r="Q8" s="49"/>
      <c r="R8" s="42"/>
      <c r="S8" s="42">
        <v>-412</v>
      </c>
      <c r="T8" s="52">
        <v>-1520</v>
      </c>
      <c r="U8" s="49"/>
      <c r="V8" s="42"/>
      <c r="W8" s="42">
        <v>-405</v>
      </c>
      <c r="X8" s="42">
        <v>-495</v>
      </c>
      <c r="Y8" s="49"/>
      <c r="Z8" s="42"/>
      <c r="AA8" s="42">
        <v>-447</v>
      </c>
      <c r="AB8" s="43">
        <v>-500</v>
      </c>
      <c r="AC8" s="42"/>
      <c r="AD8" s="42"/>
      <c r="AE8" s="52">
        <v>-1264</v>
      </c>
      <c r="AF8" s="52">
        <v>-2515</v>
      </c>
      <c r="AG8" s="42"/>
      <c r="AH8" s="42"/>
    </row>
    <row r="9" spans="1:34" x14ac:dyDescent="0.25">
      <c r="A9" s="82" t="s">
        <v>14</v>
      </c>
      <c r="B9" s="81"/>
      <c r="C9" s="105">
        <f>-253</f>
        <v>-253</v>
      </c>
      <c r="D9" s="106">
        <v>732</v>
      </c>
      <c r="E9" s="96"/>
      <c r="F9" s="91"/>
      <c r="G9" s="60">
        <v>821</v>
      </c>
      <c r="H9" s="58">
        <v>467</v>
      </c>
      <c r="I9" s="50"/>
      <c r="J9" s="81"/>
      <c r="K9" s="60">
        <v>721</v>
      </c>
      <c r="L9" s="61">
        <v>545</v>
      </c>
      <c r="M9" s="49"/>
      <c r="N9" s="42"/>
      <c r="O9" s="59">
        <f>'[1]Income Statement'!J11</f>
        <v>651</v>
      </c>
      <c r="P9" s="80">
        <f>'[1]Income Statement'!E11</f>
        <v>605</v>
      </c>
      <c r="Q9" s="49"/>
      <c r="R9" s="42"/>
      <c r="S9" s="58">
        <v>730</v>
      </c>
      <c r="T9" s="58">
        <v>708</v>
      </c>
      <c r="U9" s="49"/>
      <c r="V9" s="42"/>
      <c r="W9" s="58">
        <v>468</v>
      </c>
      <c r="X9" s="58">
        <v>888</v>
      </c>
      <c r="Y9" s="49"/>
      <c r="Z9" s="42"/>
      <c r="AA9" s="58">
        <v>545</v>
      </c>
      <c r="AB9" s="80">
        <v>1110</v>
      </c>
      <c r="AC9" s="42"/>
      <c r="AD9" s="42"/>
      <c r="AE9" s="59">
        <v>1743</v>
      </c>
      <c r="AF9" s="59">
        <v>2706</v>
      </c>
      <c r="AG9" s="42"/>
      <c r="AH9" s="42"/>
    </row>
    <row r="10" spans="1:34" x14ac:dyDescent="0.25">
      <c r="A10" s="74" t="s">
        <v>131</v>
      </c>
      <c r="B10" s="73"/>
      <c r="C10" s="95">
        <f>SUM(C6:C9)</f>
        <v>-10081</v>
      </c>
      <c r="D10" s="95">
        <f>SUM(D6:D9)</f>
        <v>-3986</v>
      </c>
      <c r="E10" s="112"/>
      <c r="F10" s="62"/>
      <c r="G10" s="62">
        <f>SUM(G6:G9)</f>
        <v>-7049.2932302739209</v>
      </c>
      <c r="H10" s="62">
        <f>SUM(H6:H9)</f>
        <v>-3483</v>
      </c>
      <c r="I10" s="88"/>
      <c r="J10" s="73"/>
      <c r="K10" s="62">
        <f>SUM(K6:K9)</f>
        <v>-6181</v>
      </c>
      <c r="L10" s="62">
        <f>SUM(L6:L9)</f>
        <v>-3901</v>
      </c>
      <c r="M10" s="87"/>
      <c r="N10" s="42"/>
      <c r="O10" s="71">
        <f>SUM(O6:O9)</f>
        <v>-5553</v>
      </c>
      <c r="P10" s="71">
        <f>SUM(P6:P9)</f>
        <v>-5155</v>
      </c>
      <c r="Q10" s="49"/>
      <c r="R10" s="42"/>
      <c r="S10" s="52">
        <v>-4010</v>
      </c>
      <c r="T10" s="71">
        <v>-4528</v>
      </c>
      <c r="U10" s="49"/>
      <c r="V10" s="42"/>
      <c r="W10" s="52">
        <v>-3515</v>
      </c>
      <c r="X10" s="71">
        <v>-7692</v>
      </c>
      <c r="Y10" s="49"/>
      <c r="Z10" s="42"/>
      <c r="AA10" s="52">
        <v>-3922</v>
      </c>
      <c r="AB10" s="71">
        <v>-9366</v>
      </c>
      <c r="AC10" s="43"/>
      <c r="AD10" s="42"/>
      <c r="AE10" s="71">
        <v>-11447</v>
      </c>
      <c r="AF10" s="71">
        <v>-21586</v>
      </c>
      <c r="AG10" s="42"/>
      <c r="AH10" s="42"/>
    </row>
    <row r="11" spans="1:34" x14ac:dyDescent="0.25">
      <c r="A11" s="79"/>
      <c r="B11" s="42"/>
      <c r="E11" s="99"/>
      <c r="F11" s="56"/>
      <c r="G11" s="56"/>
      <c r="H11" s="41"/>
      <c r="I11" s="54"/>
      <c r="J11" s="42"/>
      <c r="K11" s="56"/>
      <c r="L11" s="42"/>
      <c r="M11" s="43"/>
      <c r="N11" s="42"/>
      <c r="O11" s="42"/>
      <c r="P11" s="42"/>
      <c r="Q11" s="43"/>
      <c r="R11" s="101"/>
      <c r="S11" s="101"/>
      <c r="T11" s="43"/>
      <c r="U11" s="43"/>
      <c r="V11" s="101"/>
      <c r="W11" s="101"/>
      <c r="X11" s="43"/>
      <c r="Y11" s="43"/>
      <c r="Z11" s="101"/>
      <c r="AA11" s="101"/>
      <c r="AB11" s="43"/>
      <c r="AC11" s="42"/>
      <c r="AD11" s="101"/>
      <c r="AE11" s="101"/>
      <c r="AF11" s="42"/>
      <c r="AG11" s="42"/>
      <c r="AH11" s="42"/>
    </row>
    <row r="12" spans="1:34" x14ac:dyDescent="0.25">
      <c r="A12" s="82" t="s">
        <v>134</v>
      </c>
      <c r="B12" s="81"/>
      <c r="C12" s="105">
        <v>9308</v>
      </c>
      <c r="D12" s="105">
        <v>4924</v>
      </c>
      <c r="E12" s="96"/>
      <c r="F12" s="91"/>
      <c r="G12" s="60">
        <v>7306.1759949999996</v>
      </c>
      <c r="H12" s="59">
        <v>2534</v>
      </c>
      <c r="I12" s="50"/>
      <c r="J12" s="81"/>
      <c r="K12" s="60">
        <v>7072.152</v>
      </c>
      <c r="L12" s="60">
        <v>2768.5830000000001</v>
      </c>
      <c r="M12" s="49"/>
      <c r="N12" s="42"/>
      <c r="O12" s="59">
        <v>7026</v>
      </c>
      <c r="P12" s="80">
        <v>3923</v>
      </c>
      <c r="Q12" s="49"/>
      <c r="R12" s="42"/>
      <c r="S12" s="59">
        <v>4924</v>
      </c>
      <c r="T12" s="80">
        <v>1929</v>
      </c>
      <c r="U12" s="49"/>
      <c r="V12" s="42"/>
      <c r="W12" s="59">
        <v>2534</v>
      </c>
      <c r="X12" s="80">
        <v>6256</v>
      </c>
      <c r="Y12" s="49"/>
      <c r="Z12" s="42"/>
      <c r="AA12" s="59">
        <v>2769</v>
      </c>
      <c r="AB12" s="59">
        <v>11258</v>
      </c>
      <c r="AC12" s="42"/>
      <c r="AD12" s="42"/>
      <c r="AE12" s="59">
        <v>10227</v>
      </c>
      <c r="AF12" s="59">
        <v>19442</v>
      </c>
      <c r="AG12" s="42"/>
      <c r="AH12" s="42"/>
    </row>
    <row r="13" spans="1:34" x14ac:dyDescent="0.25">
      <c r="A13" s="74" t="s">
        <v>133</v>
      </c>
      <c r="B13" s="73"/>
      <c r="C13" s="107">
        <f>-C10/C12</f>
        <v>1.0830468414267298</v>
      </c>
      <c r="D13" s="107">
        <f>-D10/D12</f>
        <v>0.80950446791226649</v>
      </c>
      <c r="E13" s="96"/>
      <c r="F13" s="45"/>
      <c r="G13" s="45">
        <f>-G10/G12</f>
        <v>0.96484032619774329</v>
      </c>
      <c r="H13" s="45">
        <f>-H10/H12</f>
        <v>1.3745067087608525</v>
      </c>
      <c r="I13" s="50"/>
      <c r="J13" s="73"/>
      <c r="K13" s="45">
        <f>-K10/K12</f>
        <v>0.87399139611252696</v>
      </c>
      <c r="L13" s="45">
        <f>-L10/L12</f>
        <v>1.4090240386508188</v>
      </c>
      <c r="M13" s="49"/>
      <c r="N13" s="42"/>
      <c r="O13" s="44">
        <f>-O10/O12</f>
        <v>0.79035012809564475</v>
      </c>
      <c r="P13" s="44">
        <f>-P10/P12</f>
        <v>1.314045373438695</v>
      </c>
      <c r="Q13" s="49"/>
      <c r="R13" s="42"/>
      <c r="S13" s="42">
        <v>0.81</v>
      </c>
      <c r="T13" s="42">
        <v>2.35</v>
      </c>
      <c r="U13" s="49"/>
      <c r="V13" s="42"/>
      <c r="W13" s="42">
        <v>1.39</v>
      </c>
      <c r="X13" s="42">
        <v>1.23</v>
      </c>
      <c r="Y13" s="49"/>
      <c r="Z13" s="42"/>
      <c r="AA13" s="42">
        <v>1.42</v>
      </c>
      <c r="AB13" s="42">
        <v>0.83</v>
      </c>
      <c r="AC13" s="42"/>
      <c r="AD13" s="42"/>
      <c r="AE13" s="42">
        <v>1.1200000000000001</v>
      </c>
      <c r="AF13" s="42">
        <v>1.1100000000000001</v>
      </c>
      <c r="AG13" s="42"/>
      <c r="AH13" s="42"/>
    </row>
    <row r="14" spans="1:34" x14ac:dyDescent="0.25">
      <c r="A14" s="79"/>
      <c r="B14" s="42"/>
      <c r="E14" s="99"/>
      <c r="H14" s="41"/>
      <c r="I14" s="54"/>
      <c r="J14" s="42"/>
      <c r="L14" s="42"/>
      <c r="M14" s="43"/>
      <c r="N14" s="42"/>
      <c r="O14" s="42"/>
      <c r="P14" s="42"/>
      <c r="Q14" s="43"/>
      <c r="R14" s="101"/>
      <c r="S14" s="101"/>
      <c r="T14" s="43"/>
      <c r="U14" s="43"/>
      <c r="V14" s="101"/>
      <c r="W14" s="101"/>
      <c r="X14" s="43"/>
      <c r="Y14" s="43"/>
      <c r="Z14" s="101"/>
      <c r="AA14" s="101"/>
      <c r="AB14" s="43"/>
      <c r="AC14" s="42"/>
      <c r="AD14" s="101"/>
      <c r="AE14" s="101"/>
      <c r="AF14" s="42"/>
      <c r="AG14" s="42"/>
      <c r="AH14" s="42"/>
    </row>
    <row r="15" spans="1:34" x14ac:dyDescent="0.25">
      <c r="A15" s="79"/>
      <c r="B15" s="42"/>
      <c r="E15" s="99"/>
      <c r="H15" s="41"/>
      <c r="I15" s="54"/>
      <c r="J15" s="42"/>
      <c r="L15" s="42"/>
      <c r="M15" s="43"/>
      <c r="N15" s="42"/>
      <c r="O15" s="42"/>
      <c r="P15" s="42"/>
      <c r="Q15" s="43"/>
      <c r="R15" s="101"/>
      <c r="S15" s="101"/>
      <c r="T15" s="43"/>
      <c r="U15" s="43"/>
      <c r="V15" s="101"/>
      <c r="W15" s="101"/>
      <c r="X15" s="43"/>
      <c r="Y15" s="43"/>
      <c r="Z15" s="101"/>
      <c r="AA15" s="101"/>
      <c r="AB15" s="43"/>
      <c r="AC15" s="42"/>
      <c r="AD15" s="101"/>
      <c r="AE15" s="101"/>
      <c r="AF15" s="42"/>
      <c r="AG15" s="42"/>
      <c r="AH15" s="42"/>
    </row>
    <row r="16" spans="1:34" x14ac:dyDescent="0.25">
      <c r="A16" s="78" t="s">
        <v>132</v>
      </c>
      <c r="B16" s="73"/>
      <c r="C16" s="113"/>
      <c r="D16" s="113"/>
      <c r="E16" s="96"/>
      <c r="F16" s="92"/>
      <c r="G16" s="86"/>
      <c r="H16" s="86"/>
      <c r="I16" s="50"/>
      <c r="J16" s="73"/>
      <c r="K16" s="86"/>
      <c r="L16" s="84"/>
      <c r="M16" s="49"/>
      <c r="N16" s="85"/>
      <c r="O16" s="84"/>
      <c r="P16" s="84"/>
      <c r="Q16" s="49"/>
      <c r="R16" s="101"/>
      <c r="S16" s="101"/>
      <c r="T16" s="65"/>
      <c r="U16" s="49"/>
      <c r="V16" s="101"/>
      <c r="W16" s="101"/>
      <c r="X16" s="65"/>
      <c r="Y16" s="49"/>
      <c r="Z16" s="101"/>
      <c r="AA16" s="101"/>
      <c r="AB16" s="65"/>
      <c r="AC16" s="42"/>
      <c r="AD16" s="101"/>
      <c r="AE16" s="101"/>
      <c r="AF16" s="65"/>
      <c r="AG16" s="42"/>
      <c r="AH16" s="42"/>
    </row>
    <row r="17" spans="1:34" x14ac:dyDescent="0.25">
      <c r="A17" s="83" t="s">
        <v>131</v>
      </c>
      <c r="B17" s="81"/>
      <c r="C17" s="98">
        <f>C10</f>
        <v>-10081</v>
      </c>
      <c r="D17" s="98">
        <f>D10</f>
        <v>-3986</v>
      </c>
      <c r="E17" s="96"/>
      <c r="F17" s="53"/>
      <c r="G17" s="53">
        <f>G10</f>
        <v>-7049.2932302739209</v>
      </c>
      <c r="H17" s="53">
        <f>H10</f>
        <v>-3483</v>
      </c>
      <c r="I17" s="50"/>
      <c r="J17" s="81"/>
      <c r="K17" s="53">
        <f>K10</f>
        <v>-6181</v>
      </c>
      <c r="L17" s="53">
        <f>L10</f>
        <v>-3901</v>
      </c>
      <c r="M17" s="49"/>
      <c r="N17" s="42"/>
      <c r="O17" s="52">
        <f>O10</f>
        <v>-5553</v>
      </c>
      <c r="P17" s="52">
        <f>P10</f>
        <v>-5155</v>
      </c>
      <c r="Q17" s="49"/>
      <c r="R17" s="42"/>
      <c r="S17" s="52">
        <v>-4010</v>
      </c>
      <c r="T17" s="52">
        <v>-4528</v>
      </c>
      <c r="U17" s="49"/>
      <c r="V17" s="42"/>
      <c r="W17" s="52">
        <v>-3515</v>
      </c>
      <c r="X17" s="52">
        <v>-7692</v>
      </c>
      <c r="Y17" s="49"/>
      <c r="Z17" s="42"/>
      <c r="AA17" s="52">
        <v>-3922</v>
      </c>
      <c r="AB17" s="71">
        <v>-9366</v>
      </c>
      <c r="AC17" s="42"/>
      <c r="AD17" s="42"/>
      <c r="AE17" s="52">
        <v>-11447</v>
      </c>
      <c r="AF17" s="71">
        <v>-21586</v>
      </c>
      <c r="AG17" s="42"/>
      <c r="AH17" s="42"/>
    </row>
    <row r="18" spans="1:34" x14ac:dyDescent="0.25">
      <c r="A18" s="83" t="s">
        <v>140</v>
      </c>
      <c r="B18" s="81"/>
      <c r="C18" s="100"/>
      <c r="D18" s="95">
        <v>-216</v>
      </c>
      <c r="E18" s="96"/>
      <c r="F18" s="47"/>
      <c r="G18" s="47"/>
      <c r="H18" s="62">
        <v>-100</v>
      </c>
      <c r="I18" s="50"/>
      <c r="J18" s="81"/>
      <c r="K18" s="47"/>
      <c r="L18" s="71">
        <f>-3967-L17-L19</f>
        <v>53</v>
      </c>
      <c r="M18" s="49"/>
      <c r="N18" s="81"/>
      <c r="O18" s="47"/>
      <c r="P18" s="43">
        <v>25</v>
      </c>
      <c r="Q18" s="49"/>
      <c r="R18" s="101"/>
      <c r="S18" s="101"/>
      <c r="T18" s="43">
        <v>88</v>
      </c>
      <c r="U18" s="49"/>
      <c r="V18" s="101"/>
      <c r="W18" s="101"/>
      <c r="X18" s="42">
        <v>119</v>
      </c>
      <c r="Y18" s="49"/>
      <c r="Z18" s="101"/>
      <c r="AA18" s="101"/>
      <c r="AB18" s="43">
        <v>355</v>
      </c>
      <c r="AC18" s="42"/>
      <c r="AD18" s="42"/>
      <c r="AE18" s="42">
        <v>0</v>
      </c>
      <c r="AF18" s="42">
        <v>355</v>
      </c>
      <c r="AG18" s="42"/>
      <c r="AH18" s="42"/>
    </row>
    <row r="19" spans="1:34" x14ac:dyDescent="0.25">
      <c r="A19" s="83" t="s">
        <v>130</v>
      </c>
      <c r="B19" s="81"/>
      <c r="C19" s="104">
        <v>-145</v>
      </c>
      <c r="D19" s="104">
        <v>-180</v>
      </c>
      <c r="E19" s="96"/>
      <c r="F19" s="56"/>
      <c r="G19" s="56">
        <v>-132</v>
      </c>
      <c r="H19" s="56">
        <v>-18</v>
      </c>
      <c r="I19" s="50"/>
      <c r="J19" s="81"/>
      <c r="K19" s="56">
        <v>2</v>
      </c>
      <c r="L19" s="42">
        <v>-119</v>
      </c>
      <c r="M19" s="49"/>
      <c r="N19" s="42"/>
      <c r="O19" s="42">
        <v>-38</v>
      </c>
      <c r="P19" s="43">
        <v>4</v>
      </c>
      <c r="Q19" s="49"/>
      <c r="R19" s="42"/>
      <c r="S19" s="42">
        <v>-180</v>
      </c>
      <c r="T19" s="71">
        <v>-223</v>
      </c>
      <c r="U19" s="49"/>
      <c r="V19" s="42"/>
      <c r="W19" s="42">
        <v>-18</v>
      </c>
      <c r="X19" s="42"/>
      <c r="Y19" s="49"/>
      <c r="Z19" s="42"/>
      <c r="AA19" s="42">
        <v>-119</v>
      </c>
      <c r="AB19" s="42"/>
      <c r="AC19" s="42"/>
      <c r="AD19" s="42"/>
      <c r="AE19" s="42">
        <v>-137</v>
      </c>
      <c r="AF19" s="42">
        <v>119</v>
      </c>
      <c r="AG19" s="42"/>
      <c r="AH19" s="42"/>
    </row>
    <row r="20" spans="1:34" x14ac:dyDescent="0.25">
      <c r="A20" s="82" t="s">
        <v>129</v>
      </c>
      <c r="B20" s="81"/>
      <c r="C20" s="106">
        <v>0</v>
      </c>
      <c r="D20" s="108">
        <v>0</v>
      </c>
      <c r="E20" s="96"/>
      <c r="F20" s="93"/>
      <c r="G20" s="61">
        <v>0</v>
      </c>
      <c r="H20" s="67">
        <v>0</v>
      </c>
      <c r="I20" s="50"/>
      <c r="J20" s="81"/>
      <c r="K20" s="61">
        <v>0</v>
      </c>
      <c r="L20" s="65">
        <v>0</v>
      </c>
      <c r="M20" s="49"/>
      <c r="N20" s="42"/>
      <c r="O20" s="58">
        <v>0</v>
      </c>
      <c r="P20" s="65">
        <v>231</v>
      </c>
      <c r="Q20" s="49"/>
      <c r="R20" s="42"/>
      <c r="S20" s="58"/>
      <c r="T20" s="80">
        <v>1286</v>
      </c>
      <c r="U20" s="49"/>
      <c r="V20" s="101"/>
      <c r="W20" s="101"/>
      <c r="X20" s="65">
        <v>8</v>
      </c>
      <c r="Y20" s="49"/>
      <c r="Z20" s="101"/>
      <c r="AA20" s="101"/>
      <c r="AB20" s="58">
        <v>9</v>
      </c>
      <c r="AC20" s="42"/>
      <c r="AD20" s="42"/>
      <c r="AE20" s="58">
        <v>0</v>
      </c>
      <c r="AF20" s="65">
        <v>17</v>
      </c>
      <c r="AG20" s="42"/>
      <c r="AH20" s="42"/>
    </row>
    <row r="21" spans="1:34" x14ac:dyDescent="0.25">
      <c r="A21" s="74" t="s">
        <v>128</v>
      </c>
      <c r="B21" s="73"/>
      <c r="C21" s="98">
        <f>SUM(C17:C20)</f>
        <v>-10226</v>
      </c>
      <c r="D21" s="98">
        <f>SUM(D17:D20)</f>
        <v>-4382</v>
      </c>
      <c r="E21" s="96"/>
      <c r="F21" s="53"/>
      <c r="G21" s="53">
        <f>SUM(G17:G20)</f>
        <v>-7181.2932302739209</v>
      </c>
      <c r="H21" s="53">
        <f>SUM(H17:H20)</f>
        <v>-3601</v>
      </c>
      <c r="I21" s="50"/>
      <c r="J21" s="73"/>
      <c r="K21" s="53">
        <f>SUM(K17:K20)</f>
        <v>-6179</v>
      </c>
      <c r="L21" s="53">
        <f>SUM(L17:L20)</f>
        <v>-3967</v>
      </c>
      <c r="M21" s="49"/>
      <c r="N21" s="42"/>
      <c r="O21" s="52">
        <f>SUM(O17:O20)</f>
        <v>-5591</v>
      </c>
      <c r="P21" s="52">
        <f>SUM(P17:P20)</f>
        <v>-4895</v>
      </c>
      <c r="Q21" s="49"/>
      <c r="R21" s="42"/>
      <c r="S21" s="52">
        <f>SUM(S17:S20)</f>
        <v>-4190</v>
      </c>
      <c r="T21" s="52">
        <f>SUM(T17:T20)</f>
        <v>-3377</v>
      </c>
      <c r="U21" s="49"/>
      <c r="V21" s="42"/>
      <c r="W21" s="52">
        <v>-3533</v>
      </c>
      <c r="X21" s="52">
        <v>-7565</v>
      </c>
      <c r="Y21" s="49"/>
      <c r="Z21" s="42"/>
      <c r="AA21" s="52">
        <v>-4041</v>
      </c>
      <c r="AB21" s="52">
        <v>-9002</v>
      </c>
      <c r="AC21" s="42"/>
      <c r="AD21" s="42"/>
      <c r="AE21" s="52">
        <v>-11584</v>
      </c>
      <c r="AF21" s="52">
        <v>-21095</v>
      </c>
      <c r="AG21" s="42"/>
      <c r="AH21" s="42"/>
    </row>
    <row r="22" spans="1:34" x14ac:dyDescent="0.25">
      <c r="A22" s="79"/>
      <c r="B22" s="42"/>
      <c r="E22" s="99"/>
      <c r="F22" s="56"/>
      <c r="G22" s="56"/>
      <c r="H22" s="56"/>
      <c r="I22" s="54"/>
      <c r="J22" s="42"/>
      <c r="K22" s="56"/>
      <c r="L22" s="42"/>
      <c r="M22" s="43"/>
      <c r="N22" s="42"/>
      <c r="O22" s="42"/>
      <c r="P22" s="42"/>
      <c r="Q22" s="43"/>
      <c r="R22" s="101"/>
      <c r="S22" s="101"/>
      <c r="T22" s="43"/>
      <c r="U22" s="43"/>
      <c r="V22" s="101"/>
      <c r="W22" s="101"/>
      <c r="X22" s="43"/>
      <c r="Y22" s="43"/>
      <c r="Z22" s="101"/>
      <c r="AA22" s="101"/>
      <c r="AB22" s="43"/>
      <c r="AC22" s="42"/>
      <c r="AD22" s="101"/>
      <c r="AE22" s="101"/>
      <c r="AF22" s="42"/>
      <c r="AG22" s="42"/>
      <c r="AH22" s="42"/>
    </row>
    <row r="23" spans="1:34" x14ac:dyDescent="0.25">
      <c r="A23" s="78" t="s">
        <v>127</v>
      </c>
      <c r="B23" s="73"/>
      <c r="C23" s="109">
        <f>C21/C12</f>
        <v>-1.0986248388483026</v>
      </c>
      <c r="D23" s="109">
        <f>D21/D12</f>
        <v>-0.88992688870836723</v>
      </c>
      <c r="E23" s="96"/>
      <c r="F23" s="94"/>
      <c r="G23" s="77">
        <f>G21/G12</f>
        <v>-0.98290723289289195</v>
      </c>
      <c r="H23" s="77">
        <f>H21/H12</f>
        <v>-1.4210734017363851</v>
      </c>
      <c r="I23" s="50"/>
      <c r="J23" s="73"/>
      <c r="K23" s="77">
        <f>K21/K12</f>
        <v>-0.87370859676092938</v>
      </c>
      <c r="L23" s="77">
        <f>L21/L12</f>
        <v>-1.4328629483024349</v>
      </c>
      <c r="M23" s="49"/>
      <c r="N23" s="42"/>
      <c r="O23" s="76">
        <f>O21/O12</f>
        <v>-0.79575861087389699</v>
      </c>
      <c r="P23" s="76">
        <f>P21/P12</f>
        <v>-1.2477695641091002</v>
      </c>
      <c r="Q23" s="49"/>
      <c r="R23" s="42"/>
      <c r="S23" s="76">
        <f>S21/S12</f>
        <v>-0.85093419983753049</v>
      </c>
      <c r="T23" s="76">
        <f>T21/T12</f>
        <v>-1.7506480041472265</v>
      </c>
      <c r="U23" s="49"/>
      <c r="V23" s="42"/>
      <c r="W23" s="58">
        <v>-1.39</v>
      </c>
      <c r="X23" s="58">
        <v>-1.21</v>
      </c>
      <c r="Y23" s="49"/>
      <c r="Z23" s="42"/>
      <c r="AA23" s="58">
        <v>-1.46</v>
      </c>
      <c r="AB23" s="58">
        <v>-0.8</v>
      </c>
      <c r="AC23" s="42"/>
      <c r="AD23" s="42"/>
      <c r="AE23" s="58">
        <v>-1.1299999999999999</v>
      </c>
      <c r="AF23" s="58">
        <v>-1.0900000000000001</v>
      </c>
      <c r="AG23" s="42"/>
      <c r="AH23" s="42"/>
    </row>
    <row r="24" spans="1:34" x14ac:dyDescent="0.25">
      <c r="A24" s="42"/>
      <c r="B24" s="42"/>
      <c r="E24" s="99"/>
      <c r="H24" s="56"/>
      <c r="I24" s="54"/>
      <c r="J24" s="42"/>
      <c r="L24" s="42"/>
      <c r="M24" s="43"/>
      <c r="N24" s="42"/>
      <c r="O24" s="42"/>
      <c r="P24" s="42"/>
      <c r="Q24" s="43"/>
      <c r="R24" s="101"/>
      <c r="S24" s="101"/>
      <c r="T24" s="42"/>
      <c r="U24" s="43"/>
      <c r="V24" s="101"/>
      <c r="W24" s="101"/>
      <c r="X24" s="42"/>
      <c r="Y24" s="43"/>
      <c r="Z24" s="101"/>
      <c r="AA24" s="101"/>
      <c r="AB24" s="43"/>
      <c r="AC24" s="42"/>
      <c r="AD24" s="101"/>
      <c r="AE24" s="101"/>
      <c r="AF24" s="42"/>
      <c r="AG24" s="42"/>
      <c r="AH24" s="42"/>
    </row>
    <row r="25" spans="1:34" x14ac:dyDescent="0.25">
      <c r="A25" s="42"/>
      <c r="B25" s="42"/>
      <c r="E25" s="99"/>
      <c r="H25" s="41"/>
      <c r="I25" s="54"/>
      <c r="J25" s="42"/>
      <c r="L25" s="42"/>
      <c r="M25" s="43"/>
      <c r="N25" s="42"/>
      <c r="O25" s="42"/>
      <c r="P25" s="42"/>
      <c r="Q25" s="43"/>
      <c r="R25" s="101"/>
      <c r="S25" s="101"/>
      <c r="T25" s="42"/>
      <c r="U25" s="43"/>
      <c r="V25" s="101"/>
      <c r="W25" s="101"/>
      <c r="X25" s="42"/>
      <c r="Y25" s="43"/>
      <c r="Z25" s="101"/>
      <c r="AA25" s="101"/>
      <c r="AB25" s="43"/>
      <c r="AC25" s="42"/>
      <c r="AD25" s="101"/>
      <c r="AE25" s="101"/>
      <c r="AF25" s="42"/>
      <c r="AG25" s="42"/>
      <c r="AH25" s="42"/>
    </row>
    <row r="26" spans="1:34" ht="18.75" x14ac:dyDescent="0.3">
      <c r="A26" s="70" t="s">
        <v>126</v>
      </c>
      <c r="B26" s="66"/>
      <c r="C26" s="102" t="s">
        <v>113</v>
      </c>
      <c r="D26" s="102" t="s">
        <v>108</v>
      </c>
      <c r="E26" s="2" t="s">
        <v>108</v>
      </c>
      <c r="F26" s="90"/>
      <c r="G26" s="64" t="s">
        <v>113</v>
      </c>
      <c r="H26" s="64" t="s">
        <v>108</v>
      </c>
      <c r="I26" s="69" t="s">
        <v>108</v>
      </c>
      <c r="J26" s="66"/>
      <c r="K26" s="64" t="s">
        <v>113</v>
      </c>
      <c r="L26" s="64" t="s">
        <v>108</v>
      </c>
      <c r="M26" s="69" t="s">
        <v>108</v>
      </c>
      <c r="N26" s="42"/>
      <c r="O26" s="64" t="s">
        <v>108</v>
      </c>
      <c r="P26" s="64" t="s">
        <v>88</v>
      </c>
      <c r="Q26" s="69" t="s">
        <v>88</v>
      </c>
      <c r="R26" s="42"/>
      <c r="S26" s="64" t="s">
        <v>108</v>
      </c>
      <c r="T26" s="64" t="s">
        <v>88</v>
      </c>
      <c r="U26" s="69" t="s">
        <v>88</v>
      </c>
      <c r="V26" s="42"/>
      <c r="W26" s="64" t="s">
        <v>108</v>
      </c>
      <c r="X26" s="64" t="s">
        <v>88</v>
      </c>
      <c r="Y26" s="69" t="s">
        <v>88</v>
      </c>
      <c r="Z26" s="42"/>
      <c r="AA26" s="64" t="s">
        <v>108</v>
      </c>
      <c r="AB26" s="64" t="s">
        <v>88</v>
      </c>
      <c r="AC26" s="69" t="s">
        <v>88</v>
      </c>
      <c r="AD26" s="42"/>
      <c r="AE26" s="64" t="s">
        <v>108</v>
      </c>
      <c r="AF26" s="64" t="s">
        <v>88</v>
      </c>
      <c r="AG26" s="69" t="s">
        <v>88</v>
      </c>
      <c r="AH26" s="42"/>
    </row>
    <row r="27" spans="1:34" x14ac:dyDescent="0.25">
      <c r="A27" s="42"/>
      <c r="B27" s="42"/>
      <c r="C27" s="103" t="s">
        <v>2</v>
      </c>
      <c r="D27" s="103" t="s">
        <v>2</v>
      </c>
      <c r="E27" s="99" t="s">
        <v>119</v>
      </c>
      <c r="F27" s="68"/>
      <c r="G27" s="68" t="s">
        <v>5</v>
      </c>
      <c r="H27" s="68" t="s">
        <v>5</v>
      </c>
      <c r="I27" s="55" t="s">
        <v>119</v>
      </c>
      <c r="J27" s="42"/>
      <c r="K27" s="68" t="s">
        <v>4</v>
      </c>
      <c r="L27" s="68" t="s">
        <v>4</v>
      </c>
      <c r="M27" s="43" t="s">
        <v>119</v>
      </c>
      <c r="N27" s="42"/>
      <c r="O27" s="68" t="s">
        <v>3</v>
      </c>
      <c r="P27" s="68" t="s">
        <v>3</v>
      </c>
      <c r="Q27" s="43" t="s">
        <v>119</v>
      </c>
      <c r="R27" s="42"/>
      <c r="S27" s="68" t="s">
        <v>2</v>
      </c>
      <c r="T27" s="68" t="s">
        <v>2</v>
      </c>
      <c r="U27" s="43" t="s">
        <v>119</v>
      </c>
      <c r="V27" s="42"/>
      <c r="W27" s="68" t="s">
        <v>5</v>
      </c>
      <c r="X27" s="68" t="s">
        <v>5</v>
      </c>
      <c r="Y27" s="43" t="s">
        <v>119</v>
      </c>
      <c r="Z27" s="42"/>
      <c r="AA27" s="68" t="s">
        <v>4</v>
      </c>
      <c r="AB27" s="68" t="s">
        <v>4</v>
      </c>
      <c r="AC27" s="42" t="s">
        <v>119</v>
      </c>
      <c r="AD27" s="42"/>
      <c r="AE27" s="68" t="s">
        <v>4</v>
      </c>
      <c r="AF27" s="68" t="s">
        <v>4</v>
      </c>
      <c r="AG27" s="42" t="s">
        <v>119</v>
      </c>
      <c r="AH27" s="42"/>
    </row>
    <row r="28" spans="1:34" ht="18.75" x14ac:dyDescent="0.3">
      <c r="A28" s="66"/>
      <c r="B28" s="66"/>
      <c r="C28" s="102" t="s">
        <v>7</v>
      </c>
      <c r="D28" s="102" t="s">
        <v>7</v>
      </c>
      <c r="E28" s="108" t="s">
        <v>118</v>
      </c>
      <c r="F28" s="90"/>
      <c r="G28" s="64" t="s">
        <v>10</v>
      </c>
      <c r="H28" s="64" t="s">
        <v>10</v>
      </c>
      <c r="I28" s="67" t="s">
        <v>118</v>
      </c>
      <c r="J28" s="66"/>
      <c r="K28" s="64" t="s">
        <v>9</v>
      </c>
      <c r="L28" s="64" t="s">
        <v>9</v>
      </c>
      <c r="M28" s="65" t="s">
        <v>118</v>
      </c>
      <c r="N28" s="42"/>
      <c r="O28" s="64" t="s">
        <v>8</v>
      </c>
      <c r="P28" s="64" t="s">
        <v>8</v>
      </c>
      <c r="Q28" s="65" t="s">
        <v>118</v>
      </c>
      <c r="R28" s="42"/>
      <c r="S28" s="64" t="s">
        <v>7</v>
      </c>
      <c r="T28" s="64" t="s">
        <v>7</v>
      </c>
      <c r="U28" s="65" t="s">
        <v>118</v>
      </c>
      <c r="V28" s="42"/>
      <c r="W28" s="64" t="s">
        <v>10</v>
      </c>
      <c r="X28" s="64" t="s">
        <v>10</v>
      </c>
      <c r="Y28" s="65" t="s">
        <v>118</v>
      </c>
      <c r="Z28" s="42"/>
      <c r="AA28" s="64" t="s">
        <v>9</v>
      </c>
      <c r="AB28" s="64" t="s">
        <v>9</v>
      </c>
      <c r="AC28" s="58" t="s">
        <v>118</v>
      </c>
      <c r="AD28" s="42"/>
      <c r="AE28" s="64" t="s">
        <v>8</v>
      </c>
      <c r="AF28" s="64" t="s">
        <v>8</v>
      </c>
      <c r="AG28" s="58" t="s">
        <v>118</v>
      </c>
      <c r="AH28" s="42"/>
    </row>
    <row r="29" spans="1:34" x14ac:dyDescent="0.25">
      <c r="A29" s="73" t="s">
        <v>11</v>
      </c>
      <c r="B29" s="73"/>
      <c r="C29" s="3">
        <v>7164</v>
      </c>
      <c r="D29" s="3">
        <v>2357</v>
      </c>
      <c r="E29" s="95">
        <v>2455</v>
      </c>
      <c r="F29" s="63"/>
      <c r="G29" s="63">
        <v>4809</v>
      </c>
      <c r="H29" s="63">
        <v>950</v>
      </c>
      <c r="I29" s="62">
        <v>996</v>
      </c>
      <c r="J29" s="73"/>
      <c r="K29" s="53">
        <v>3505.8989999999999</v>
      </c>
      <c r="L29" s="52">
        <v>1097</v>
      </c>
      <c r="M29" s="62">
        <v>1105</v>
      </c>
      <c r="N29" s="42"/>
      <c r="O29" s="52">
        <v>3997</v>
      </c>
      <c r="P29" s="71">
        <v>1813</v>
      </c>
      <c r="Q29" s="71">
        <v>1829</v>
      </c>
      <c r="R29" s="42"/>
      <c r="S29" s="52">
        <v>2357</v>
      </c>
      <c r="T29" s="52">
        <v>1353</v>
      </c>
      <c r="U29" s="52">
        <v>1365</v>
      </c>
      <c r="V29" s="42"/>
      <c r="W29" s="42">
        <v>950</v>
      </c>
      <c r="X29" s="52">
        <v>3462</v>
      </c>
      <c r="Y29" s="52">
        <v>3294</v>
      </c>
      <c r="Z29" s="42"/>
      <c r="AA29" s="52">
        <v>1097</v>
      </c>
      <c r="AB29" s="71">
        <v>7315</v>
      </c>
      <c r="AC29" s="52">
        <v>6966</v>
      </c>
      <c r="AD29" s="42"/>
      <c r="AE29" s="52">
        <v>4404</v>
      </c>
      <c r="AF29" s="52">
        <v>12130</v>
      </c>
      <c r="AG29" s="52">
        <v>11625</v>
      </c>
      <c r="AH29" s="42"/>
    </row>
    <row r="30" spans="1:34" x14ac:dyDescent="0.25">
      <c r="A30" s="42"/>
      <c r="B30" s="42"/>
      <c r="C30" s="98"/>
      <c r="D30" s="95"/>
      <c r="E30" s="95"/>
      <c r="F30" s="53"/>
      <c r="G30" s="53"/>
      <c r="H30" s="75"/>
      <c r="I30" s="62"/>
      <c r="J30" s="42"/>
      <c r="K30" s="53"/>
      <c r="L30" s="71"/>
      <c r="M30" s="62"/>
      <c r="N30" s="42"/>
      <c r="O30" s="52"/>
      <c r="P30" s="71"/>
      <c r="Q30" s="71"/>
      <c r="R30" s="101"/>
      <c r="S30" s="101"/>
      <c r="T30" s="43"/>
      <c r="U30" s="42"/>
      <c r="V30" s="101"/>
      <c r="W30" s="101"/>
      <c r="X30" s="43"/>
      <c r="Y30" s="42"/>
      <c r="Z30" s="101"/>
      <c r="AA30" s="101"/>
      <c r="AB30" s="43"/>
      <c r="AC30" s="42"/>
      <c r="AD30" s="101"/>
      <c r="AE30" s="101"/>
      <c r="AF30" s="42"/>
      <c r="AG30" s="42"/>
      <c r="AH30" s="42"/>
    </row>
    <row r="31" spans="1:34" x14ac:dyDescent="0.25">
      <c r="A31" s="74" t="s">
        <v>125</v>
      </c>
      <c r="B31" s="73"/>
      <c r="C31" s="98">
        <v>6452</v>
      </c>
      <c r="D31" s="104">
        <v>2413</v>
      </c>
      <c r="E31" s="95">
        <v>2413</v>
      </c>
      <c r="F31" s="53"/>
      <c r="G31" s="53">
        <v>4604</v>
      </c>
      <c r="H31" s="42">
        <v>739</v>
      </c>
      <c r="I31" s="62">
        <v>739</v>
      </c>
      <c r="J31" s="73"/>
      <c r="K31" s="53">
        <v>3711.79</v>
      </c>
      <c r="L31" s="42">
        <v>804</v>
      </c>
      <c r="M31" s="62">
        <v>804</v>
      </c>
      <c r="N31" s="42"/>
      <c r="O31" s="52">
        <v>3792</v>
      </c>
      <c r="P31" s="52">
        <v>1514</v>
      </c>
      <c r="Q31" s="71">
        <v>1514</v>
      </c>
      <c r="R31" s="42"/>
      <c r="S31" s="52">
        <v>2413</v>
      </c>
      <c r="T31" s="42">
        <v>982</v>
      </c>
      <c r="U31" s="42">
        <v>982</v>
      </c>
      <c r="V31" s="42"/>
      <c r="W31" s="42">
        <v>739</v>
      </c>
      <c r="X31" s="52">
        <v>3398</v>
      </c>
      <c r="Y31" s="52">
        <v>3398</v>
      </c>
      <c r="Z31" s="42"/>
      <c r="AA31" s="42">
        <v>804</v>
      </c>
      <c r="AB31" s="52">
        <v>7365</v>
      </c>
      <c r="AC31" s="52">
        <v>7365</v>
      </c>
      <c r="AD31" s="42"/>
      <c r="AE31" s="52">
        <v>3956</v>
      </c>
      <c r="AF31" s="52">
        <v>11746</v>
      </c>
      <c r="AG31" s="52">
        <v>11746</v>
      </c>
      <c r="AH31" s="42"/>
    </row>
    <row r="32" spans="1:34" x14ac:dyDescent="0.25">
      <c r="A32" s="48"/>
      <c r="B32" s="47"/>
      <c r="D32" s="99"/>
      <c r="E32" s="96"/>
      <c r="F32" s="56"/>
      <c r="G32" s="56"/>
      <c r="H32" s="54"/>
      <c r="I32" s="49"/>
      <c r="J32" s="47"/>
      <c r="K32" s="56"/>
      <c r="L32" s="43"/>
      <c r="M32" s="49"/>
      <c r="N32" s="47"/>
      <c r="O32" s="42"/>
      <c r="P32" s="43"/>
      <c r="Q32" s="49"/>
      <c r="R32" s="101"/>
      <c r="S32" s="101"/>
      <c r="T32" s="43"/>
      <c r="U32" s="42"/>
      <c r="V32" s="101"/>
      <c r="W32" s="101"/>
      <c r="X32" s="43"/>
      <c r="Y32" s="42"/>
      <c r="Z32" s="101"/>
      <c r="AA32" s="101"/>
      <c r="AB32" s="43"/>
      <c r="AC32" s="42"/>
      <c r="AD32" s="101"/>
      <c r="AE32" s="101"/>
      <c r="AF32" s="42"/>
      <c r="AG32" s="42"/>
      <c r="AH32" s="42"/>
    </row>
    <row r="33" spans="1:34" x14ac:dyDescent="0.25">
      <c r="A33" s="74" t="s">
        <v>124</v>
      </c>
      <c r="B33" s="73"/>
      <c r="C33" s="97">
        <f>C29/C31</f>
        <v>1.1103533787972721</v>
      </c>
      <c r="D33" s="97">
        <f>D29/D31</f>
        <v>0.97679237463738089</v>
      </c>
      <c r="E33" s="97">
        <f>E29/E31</f>
        <v>1.0174057190219643</v>
      </c>
      <c r="F33" s="45"/>
      <c r="G33" s="45">
        <f>G29/G31</f>
        <v>1.0445264986967855</v>
      </c>
      <c r="H33" s="45">
        <f>H29/H31</f>
        <v>1.2855209742895806</v>
      </c>
      <c r="I33" s="45">
        <f>I29/I31</f>
        <v>1.3477672530446549</v>
      </c>
      <c r="J33" s="72"/>
      <c r="K33" s="45">
        <f>K29/K31</f>
        <v>0.94453053647970386</v>
      </c>
      <c r="L33" s="44">
        <f>L29/L31</f>
        <v>1.3644278606965174</v>
      </c>
      <c r="M33" s="45">
        <f>M29/M31</f>
        <v>1.3743781094527363</v>
      </c>
      <c r="N33" s="42"/>
      <c r="O33" s="44">
        <f>O29/O31</f>
        <v>1.0540611814345993</v>
      </c>
      <c r="P33" s="44">
        <f>P29/P31</f>
        <v>1.1974900924702774</v>
      </c>
      <c r="Q33" s="44">
        <f>Q29/Q31</f>
        <v>1.2080581241743724</v>
      </c>
      <c r="R33" s="42"/>
      <c r="S33" s="42">
        <v>0.98</v>
      </c>
      <c r="T33" s="42">
        <v>1.38</v>
      </c>
      <c r="U33" s="42">
        <v>1.39</v>
      </c>
      <c r="V33" s="42"/>
      <c r="W33" s="42">
        <v>1.29</v>
      </c>
      <c r="X33" s="42">
        <v>1.02</v>
      </c>
      <c r="Y33" s="42">
        <v>0.97</v>
      </c>
      <c r="Z33" s="42"/>
      <c r="AA33" s="42">
        <v>1.36</v>
      </c>
      <c r="AB33" s="42">
        <v>0.99</v>
      </c>
      <c r="AC33" s="42">
        <v>0.95</v>
      </c>
      <c r="AD33" s="42"/>
      <c r="AE33" s="42">
        <v>1.1100000000000001</v>
      </c>
      <c r="AF33" s="42">
        <v>1.03</v>
      </c>
      <c r="AG33" s="42">
        <v>0.99</v>
      </c>
      <c r="AH33" s="42"/>
    </row>
    <row r="34" spans="1:34" x14ac:dyDescent="0.25">
      <c r="A34" s="42"/>
      <c r="B34" s="42"/>
      <c r="E34" s="99"/>
      <c r="H34" s="41"/>
      <c r="I34" s="54"/>
      <c r="J34" s="42"/>
      <c r="L34" s="42"/>
      <c r="M34" s="43"/>
      <c r="N34" s="42"/>
      <c r="O34" s="42"/>
      <c r="P34" s="42"/>
      <c r="Q34" s="43"/>
      <c r="R34" s="101"/>
      <c r="S34" s="101"/>
      <c r="T34" s="42"/>
      <c r="U34" s="43"/>
      <c r="V34" s="101"/>
      <c r="W34" s="101"/>
      <c r="X34" s="42"/>
      <c r="Y34" s="43"/>
      <c r="Z34" s="101"/>
      <c r="AA34" s="101"/>
      <c r="AB34" s="43"/>
      <c r="AC34" s="42"/>
      <c r="AD34" s="101"/>
      <c r="AE34" s="101"/>
      <c r="AF34" s="42"/>
      <c r="AG34" s="42"/>
      <c r="AH34" s="42"/>
    </row>
    <row r="35" spans="1:34" x14ac:dyDescent="0.25">
      <c r="A35" s="42"/>
      <c r="B35" s="42"/>
      <c r="E35" s="99"/>
      <c r="H35" s="41"/>
      <c r="I35" s="54"/>
      <c r="J35" s="42"/>
      <c r="L35" s="42"/>
      <c r="M35" s="43"/>
      <c r="N35" s="42"/>
      <c r="O35" s="42"/>
      <c r="P35" s="42"/>
      <c r="Q35" s="43"/>
      <c r="R35" s="101"/>
      <c r="S35" s="101"/>
      <c r="T35" s="42"/>
      <c r="U35" s="43"/>
      <c r="V35" s="101"/>
      <c r="W35" s="101"/>
      <c r="X35" s="42"/>
      <c r="Y35" s="43"/>
      <c r="Z35" s="101"/>
      <c r="AA35" s="101"/>
      <c r="AB35" s="43"/>
      <c r="AC35" s="42"/>
      <c r="AD35" s="101"/>
      <c r="AE35" s="101"/>
      <c r="AF35" s="42"/>
      <c r="AG35" s="42"/>
      <c r="AH35" s="42"/>
    </row>
    <row r="36" spans="1:34" x14ac:dyDescent="0.25">
      <c r="A36" s="42"/>
      <c r="B36" s="42"/>
      <c r="E36" s="99"/>
      <c r="H36" s="41"/>
      <c r="I36" s="54"/>
      <c r="J36" s="42"/>
      <c r="L36" s="42"/>
      <c r="M36" s="43"/>
      <c r="N36" s="42"/>
      <c r="O36" s="42"/>
      <c r="P36" s="42"/>
      <c r="Q36" s="43"/>
      <c r="R36" s="101"/>
      <c r="S36" s="101"/>
      <c r="T36" s="42"/>
      <c r="U36" s="43"/>
      <c r="V36" s="101"/>
      <c r="W36" s="101"/>
      <c r="X36" s="42"/>
      <c r="Y36" s="43"/>
      <c r="Z36" s="101"/>
      <c r="AA36" s="101"/>
      <c r="AB36" s="43"/>
      <c r="AC36" s="42"/>
      <c r="AD36" s="101"/>
      <c r="AE36" s="101"/>
      <c r="AF36" s="42"/>
      <c r="AG36" s="42"/>
      <c r="AH36" s="42"/>
    </row>
    <row r="37" spans="1:34" ht="18.75" x14ac:dyDescent="0.3">
      <c r="A37" s="70" t="s">
        <v>123</v>
      </c>
      <c r="B37" s="66"/>
      <c r="C37" s="102" t="s">
        <v>113</v>
      </c>
      <c r="D37" s="102" t="s">
        <v>108</v>
      </c>
      <c r="E37" s="2" t="s">
        <v>108</v>
      </c>
      <c r="F37" s="90"/>
      <c r="G37" s="64" t="s">
        <v>113</v>
      </c>
      <c r="H37" s="64" t="s">
        <v>108</v>
      </c>
      <c r="I37" s="69" t="s">
        <v>108</v>
      </c>
      <c r="J37" s="66"/>
      <c r="K37" s="64" t="s">
        <v>113</v>
      </c>
      <c r="L37" s="64" t="s">
        <v>108</v>
      </c>
      <c r="M37" s="69" t="s">
        <v>108</v>
      </c>
      <c r="N37" s="42"/>
      <c r="O37" s="64" t="s">
        <v>108</v>
      </c>
      <c r="P37" s="64" t="s">
        <v>88</v>
      </c>
      <c r="Q37" s="69" t="s">
        <v>88</v>
      </c>
      <c r="R37" s="42"/>
      <c r="S37" s="64" t="s">
        <v>108</v>
      </c>
      <c r="T37" s="64" t="s">
        <v>88</v>
      </c>
      <c r="U37" s="69" t="s">
        <v>88</v>
      </c>
      <c r="V37" s="42"/>
      <c r="W37" s="64" t="s">
        <v>108</v>
      </c>
      <c r="X37" s="64" t="s">
        <v>88</v>
      </c>
      <c r="Y37" s="69" t="s">
        <v>88</v>
      </c>
      <c r="Z37" s="42"/>
      <c r="AA37" s="64" t="s">
        <v>108</v>
      </c>
      <c r="AB37" s="64" t="s">
        <v>88</v>
      </c>
      <c r="AC37" s="69" t="s">
        <v>88</v>
      </c>
      <c r="AD37" s="42"/>
      <c r="AE37" s="64" t="s">
        <v>108</v>
      </c>
      <c r="AF37" s="64" t="s">
        <v>88</v>
      </c>
      <c r="AG37" s="69" t="s">
        <v>88</v>
      </c>
      <c r="AH37" s="42"/>
    </row>
    <row r="38" spans="1:34" x14ac:dyDescent="0.25">
      <c r="A38" s="42"/>
      <c r="B38" s="42"/>
      <c r="C38" s="103" t="s">
        <v>2</v>
      </c>
      <c r="D38" s="103" t="s">
        <v>2</v>
      </c>
      <c r="E38" s="99" t="s">
        <v>119</v>
      </c>
      <c r="F38" s="68"/>
      <c r="G38" s="68" t="s">
        <v>5</v>
      </c>
      <c r="H38" s="68" t="s">
        <v>5</v>
      </c>
      <c r="I38" s="55" t="s">
        <v>119</v>
      </c>
      <c r="J38" s="42"/>
      <c r="K38" s="68" t="s">
        <v>4</v>
      </c>
      <c r="L38" s="68" t="s">
        <v>4</v>
      </c>
      <c r="M38" s="43" t="s">
        <v>119</v>
      </c>
      <c r="N38" s="42"/>
      <c r="O38" s="68" t="s">
        <v>3</v>
      </c>
      <c r="P38" s="68" t="s">
        <v>3</v>
      </c>
      <c r="Q38" s="43" t="s">
        <v>119</v>
      </c>
      <c r="R38" s="42"/>
      <c r="S38" s="68" t="s">
        <v>2</v>
      </c>
      <c r="T38" s="68" t="s">
        <v>2</v>
      </c>
      <c r="U38" s="43" t="s">
        <v>119</v>
      </c>
      <c r="V38" s="42"/>
      <c r="W38" s="68" t="s">
        <v>5</v>
      </c>
      <c r="X38" s="68" t="s">
        <v>5</v>
      </c>
      <c r="Y38" s="43" t="s">
        <v>119</v>
      </c>
      <c r="Z38" s="42"/>
      <c r="AA38" s="68" t="s">
        <v>4</v>
      </c>
      <c r="AB38" s="68" t="s">
        <v>4</v>
      </c>
      <c r="AC38" s="42" t="s">
        <v>119</v>
      </c>
      <c r="AD38" s="42"/>
      <c r="AE38" s="68" t="s">
        <v>4</v>
      </c>
      <c r="AF38" s="68" t="s">
        <v>4</v>
      </c>
      <c r="AG38" s="42" t="s">
        <v>119</v>
      </c>
      <c r="AH38" s="42"/>
    </row>
    <row r="39" spans="1:34" ht="18.75" x14ac:dyDescent="0.3">
      <c r="A39" s="66"/>
      <c r="B39" s="66"/>
      <c r="C39" s="102" t="s">
        <v>7</v>
      </c>
      <c r="D39" s="102" t="s">
        <v>7</v>
      </c>
      <c r="E39" s="108" t="s">
        <v>118</v>
      </c>
      <c r="F39" s="90"/>
      <c r="G39" s="64" t="s">
        <v>10</v>
      </c>
      <c r="H39" s="64" t="s">
        <v>10</v>
      </c>
      <c r="I39" s="67" t="s">
        <v>118</v>
      </c>
      <c r="J39" s="66"/>
      <c r="K39" s="64" t="s">
        <v>9</v>
      </c>
      <c r="L39" s="64" t="s">
        <v>9</v>
      </c>
      <c r="M39" s="65" t="s">
        <v>118</v>
      </c>
      <c r="N39" s="42"/>
      <c r="O39" s="64" t="s">
        <v>8</v>
      </c>
      <c r="P39" s="64" t="s">
        <v>8</v>
      </c>
      <c r="Q39" s="65" t="s">
        <v>118</v>
      </c>
      <c r="R39" s="42"/>
      <c r="S39" s="64" t="s">
        <v>7</v>
      </c>
      <c r="T39" s="64" t="s">
        <v>7</v>
      </c>
      <c r="U39" s="65" t="s">
        <v>118</v>
      </c>
      <c r="V39" s="42"/>
      <c r="W39" s="64" t="s">
        <v>10</v>
      </c>
      <c r="X39" s="64" t="s">
        <v>10</v>
      </c>
      <c r="Y39" s="65" t="s">
        <v>118</v>
      </c>
      <c r="Z39" s="42"/>
      <c r="AA39" s="64" t="s">
        <v>9</v>
      </c>
      <c r="AB39" s="64" t="s">
        <v>9</v>
      </c>
      <c r="AC39" s="58" t="s">
        <v>118</v>
      </c>
      <c r="AD39" s="42"/>
      <c r="AE39" s="64" t="s">
        <v>8</v>
      </c>
      <c r="AF39" s="64" t="s">
        <v>8</v>
      </c>
      <c r="AG39" s="58" t="s">
        <v>118</v>
      </c>
      <c r="AH39" s="42"/>
    </row>
    <row r="40" spans="1:34" x14ac:dyDescent="0.25">
      <c r="A40" s="47" t="s">
        <v>11</v>
      </c>
      <c r="B40" s="47"/>
      <c r="C40" s="3">
        <f>C29</f>
        <v>7164</v>
      </c>
      <c r="D40" s="3">
        <f>D29</f>
        <v>2357</v>
      </c>
      <c r="E40" s="3">
        <f>E29</f>
        <v>2455</v>
      </c>
      <c r="F40" s="63"/>
      <c r="G40" s="63">
        <v>4809</v>
      </c>
      <c r="H40" s="63">
        <v>950</v>
      </c>
      <c r="I40" s="62">
        <v>996</v>
      </c>
      <c r="J40" s="47"/>
      <c r="K40" s="53">
        <v>3506</v>
      </c>
      <c r="L40" s="52">
        <v>1097</v>
      </c>
      <c r="M40" s="62">
        <v>1105</v>
      </c>
      <c r="N40" s="42"/>
      <c r="O40" s="52">
        <v>3997</v>
      </c>
      <c r="P40" s="52">
        <v>1813</v>
      </c>
      <c r="Q40" s="71">
        <v>1829</v>
      </c>
      <c r="R40" s="42"/>
      <c r="S40" s="52">
        <v>2357</v>
      </c>
      <c r="T40" s="52">
        <v>1353</v>
      </c>
      <c r="U40" s="52">
        <v>1365</v>
      </c>
      <c r="V40" s="42"/>
      <c r="W40" s="42">
        <v>950</v>
      </c>
      <c r="X40" s="52">
        <v>3462</v>
      </c>
      <c r="Y40" s="52">
        <v>3294</v>
      </c>
      <c r="Z40" s="42"/>
      <c r="AA40" s="52">
        <v>1097</v>
      </c>
      <c r="AB40" s="52">
        <v>7315</v>
      </c>
      <c r="AC40" s="52">
        <v>6966</v>
      </c>
      <c r="AD40" s="42"/>
      <c r="AE40" s="52">
        <v>4404</v>
      </c>
      <c r="AF40" s="52">
        <v>12130</v>
      </c>
      <c r="AG40" s="52">
        <v>11625</v>
      </c>
      <c r="AH40" s="42"/>
    </row>
    <row r="41" spans="1:34" x14ac:dyDescent="0.25">
      <c r="A41" s="42"/>
      <c r="B41" s="42"/>
      <c r="C41" s="98"/>
      <c r="D41" s="98"/>
      <c r="E41" s="95"/>
      <c r="F41" s="53"/>
      <c r="G41" s="53"/>
      <c r="H41" s="53"/>
      <c r="I41" s="62"/>
      <c r="J41" s="42"/>
      <c r="K41" s="53"/>
      <c r="L41" s="52"/>
      <c r="M41" s="62"/>
      <c r="N41" s="42"/>
      <c r="O41" s="52"/>
      <c r="P41" s="52"/>
      <c r="Q41" s="71"/>
      <c r="R41" s="101"/>
      <c r="S41" s="101"/>
      <c r="T41" s="43"/>
      <c r="U41" s="42"/>
      <c r="V41" s="101"/>
      <c r="W41" s="101"/>
      <c r="X41" s="43"/>
      <c r="Y41" s="42"/>
      <c r="Z41" s="101"/>
      <c r="AA41" s="101"/>
      <c r="AB41" s="43"/>
      <c r="AC41" s="42"/>
      <c r="AD41" s="101"/>
      <c r="AE41" s="101"/>
      <c r="AF41" s="42"/>
      <c r="AG41" s="42"/>
      <c r="AH41" s="42"/>
    </row>
    <row r="42" spans="1:34" x14ac:dyDescent="0.25">
      <c r="A42" s="48" t="s">
        <v>122</v>
      </c>
      <c r="B42" s="47"/>
      <c r="C42" s="98">
        <v>8366</v>
      </c>
      <c r="D42" s="98">
        <v>4743</v>
      </c>
      <c r="E42" s="95">
        <f>D42</f>
        <v>4743</v>
      </c>
      <c r="F42" s="53"/>
      <c r="G42" s="53">
        <v>6975</v>
      </c>
      <c r="H42" s="53">
        <v>2521</v>
      </c>
      <c r="I42" s="62">
        <f>H42</f>
        <v>2521</v>
      </c>
      <c r="J42" s="47"/>
      <c r="K42" s="53">
        <v>6744.8760000000002</v>
      </c>
      <c r="L42" s="52">
        <v>2748.0250000000001</v>
      </c>
      <c r="M42" s="62">
        <f>L42</f>
        <v>2748.0250000000001</v>
      </c>
      <c r="N42" s="42"/>
      <c r="O42" s="52">
        <v>6574</v>
      </c>
      <c r="P42" s="52">
        <v>3742</v>
      </c>
      <c r="Q42" s="71">
        <v>3782</v>
      </c>
      <c r="R42" s="42"/>
      <c r="S42" s="52">
        <v>4743</v>
      </c>
      <c r="T42" s="71">
        <v>1910</v>
      </c>
      <c r="U42" s="52">
        <v>1910</v>
      </c>
      <c r="V42" s="42"/>
      <c r="W42" s="52">
        <v>2521</v>
      </c>
      <c r="X42" s="71">
        <v>5906</v>
      </c>
      <c r="Y42" s="52">
        <v>5906</v>
      </c>
      <c r="Z42" s="42"/>
      <c r="AA42" s="52">
        <v>2748</v>
      </c>
      <c r="AB42" s="71">
        <v>10759</v>
      </c>
      <c r="AC42" s="52">
        <v>10759</v>
      </c>
      <c r="AD42" s="42"/>
      <c r="AE42" s="52">
        <v>10011</v>
      </c>
      <c r="AF42" s="52">
        <v>18575</v>
      </c>
      <c r="AG42" s="52">
        <v>18575</v>
      </c>
      <c r="AH42" s="42"/>
    </row>
    <row r="43" spans="1:34" x14ac:dyDescent="0.25">
      <c r="A43" s="48"/>
      <c r="B43" s="47"/>
      <c r="C43" s="100"/>
      <c r="E43" s="99"/>
      <c r="F43" s="47"/>
      <c r="G43" s="47"/>
      <c r="H43" s="56"/>
      <c r="I43" s="55"/>
      <c r="J43" s="47"/>
      <c r="K43" s="47"/>
      <c r="L43" s="42"/>
      <c r="M43" s="55"/>
      <c r="N43" s="47"/>
      <c r="O43" s="47"/>
      <c r="P43" s="42"/>
      <c r="Q43" s="43"/>
      <c r="R43" s="101"/>
      <c r="S43" s="101"/>
      <c r="T43" s="43"/>
      <c r="U43" s="42"/>
      <c r="V43" s="101"/>
      <c r="W43" s="101"/>
      <c r="X43" s="43"/>
      <c r="Y43" s="42"/>
      <c r="Z43" s="101"/>
      <c r="AA43" s="101"/>
      <c r="AB43" s="43"/>
      <c r="AC43" s="42"/>
      <c r="AD43" s="101"/>
      <c r="AE43" s="101"/>
      <c r="AF43" s="42"/>
      <c r="AG43" s="42"/>
      <c r="AH43" s="42"/>
    </row>
    <row r="44" spans="1:34" x14ac:dyDescent="0.25">
      <c r="A44" s="48" t="s">
        <v>121</v>
      </c>
      <c r="B44" s="47"/>
      <c r="C44" s="97">
        <f>C40/C42</f>
        <v>0.85632321300502035</v>
      </c>
      <c r="D44" s="97">
        <f>D40/D42</f>
        <v>0.49694286316677211</v>
      </c>
      <c r="E44" s="97">
        <f>E40/E42</f>
        <v>0.51760489141893318</v>
      </c>
      <c r="F44" s="45"/>
      <c r="G44" s="45">
        <f>G40/G42</f>
        <v>0.68946236559139784</v>
      </c>
      <c r="H44" s="45">
        <f>H40/H42</f>
        <v>0.37683458944863152</v>
      </c>
      <c r="I44" s="45">
        <f>I40/I42</f>
        <v>0.39508131693772314</v>
      </c>
      <c r="J44" s="46"/>
      <c r="K44" s="45">
        <f>K40/K42</f>
        <v>0.5198019948772965</v>
      </c>
      <c r="L44" s="44">
        <f>L40/L42</f>
        <v>0.39919578606453726</v>
      </c>
      <c r="M44" s="45">
        <f>M40/M42</f>
        <v>0.40210696773137072</v>
      </c>
      <c r="N44" s="42"/>
      <c r="O44" s="44">
        <f>O40/O42</f>
        <v>0.60800121691512021</v>
      </c>
      <c r="P44" s="44">
        <f>P40/P42</f>
        <v>0.48450026723677175</v>
      </c>
      <c r="Q44" s="44">
        <f>Q40/Q42</f>
        <v>0.48360655737704916</v>
      </c>
      <c r="R44" s="42"/>
      <c r="S44" s="42">
        <v>0.5</v>
      </c>
      <c r="T44" s="42">
        <v>0.71</v>
      </c>
      <c r="U44" s="42">
        <v>0.71</v>
      </c>
      <c r="V44" s="42"/>
      <c r="W44" s="42">
        <v>0.38</v>
      </c>
      <c r="X44" s="42">
        <v>0.59</v>
      </c>
      <c r="Y44" s="42">
        <v>0.56000000000000005</v>
      </c>
      <c r="Z44" s="42"/>
      <c r="AA44" s="42">
        <v>0.4</v>
      </c>
      <c r="AB44" s="42">
        <v>0.68</v>
      </c>
      <c r="AC44" s="42">
        <v>0.65</v>
      </c>
      <c r="AD44" s="42"/>
      <c r="AE44" s="42">
        <v>0.44</v>
      </c>
      <c r="AF44" s="42">
        <v>0.65</v>
      </c>
      <c r="AG44" s="43">
        <v>0.63</v>
      </c>
      <c r="AH44" s="42"/>
    </row>
    <row r="45" spans="1:34" x14ac:dyDescent="0.25">
      <c r="A45" s="42"/>
      <c r="B45" s="42"/>
      <c r="E45" s="99"/>
      <c r="H45" s="41"/>
      <c r="I45" s="54"/>
      <c r="J45" s="42"/>
      <c r="L45" s="42"/>
      <c r="M45" s="43"/>
      <c r="N45" s="42"/>
      <c r="O45" s="42"/>
      <c r="P45" s="42"/>
      <c r="Q45" s="43"/>
      <c r="R45" s="101"/>
      <c r="S45" s="101"/>
      <c r="T45" s="42"/>
      <c r="U45" s="43"/>
      <c r="V45" s="101"/>
      <c r="W45" s="101"/>
      <c r="X45" s="42"/>
      <c r="Y45" s="43"/>
      <c r="Z45" s="101"/>
      <c r="AA45" s="101"/>
      <c r="AB45" s="43"/>
      <c r="AC45" s="42"/>
      <c r="AD45" s="101"/>
      <c r="AE45" s="101"/>
      <c r="AF45" s="42"/>
      <c r="AG45" s="42"/>
      <c r="AH45" s="42"/>
    </row>
    <row r="46" spans="1:34" x14ac:dyDescent="0.25">
      <c r="A46" s="42"/>
      <c r="B46" s="42"/>
      <c r="E46" s="99"/>
      <c r="H46" s="41"/>
      <c r="I46" s="54"/>
      <c r="J46" s="42"/>
      <c r="L46" s="42"/>
      <c r="M46" s="43"/>
      <c r="N46" s="42"/>
      <c r="O46" s="42"/>
      <c r="P46" s="42"/>
      <c r="Q46" s="43"/>
      <c r="R46" s="101"/>
      <c r="S46" s="101"/>
      <c r="T46" s="42"/>
      <c r="U46" s="43"/>
      <c r="V46" s="101"/>
      <c r="W46" s="101"/>
      <c r="X46" s="42"/>
      <c r="Y46" s="43"/>
      <c r="Z46" s="101"/>
      <c r="AA46" s="101"/>
      <c r="AB46" s="43"/>
      <c r="AC46" s="42"/>
      <c r="AD46" s="101"/>
      <c r="AE46" s="101"/>
      <c r="AF46" s="42"/>
      <c r="AG46" s="42"/>
      <c r="AH46" s="42"/>
    </row>
    <row r="47" spans="1:34" ht="18.75" x14ac:dyDescent="0.3">
      <c r="A47" s="70" t="s">
        <v>120</v>
      </c>
      <c r="B47" s="66"/>
      <c r="C47" s="102" t="s">
        <v>113</v>
      </c>
      <c r="D47" s="102" t="s">
        <v>108</v>
      </c>
      <c r="E47" s="2" t="s">
        <v>108</v>
      </c>
      <c r="F47" s="90"/>
      <c r="G47" s="64" t="s">
        <v>113</v>
      </c>
      <c r="H47" s="64" t="s">
        <v>108</v>
      </c>
      <c r="I47" s="69" t="s">
        <v>108</v>
      </c>
      <c r="J47" s="66"/>
      <c r="K47" s="64" t="s">
        <v>113</v>
      </c>
      <c r="L47" s="64" t="s">
        <v>108</v>
      </c>
      <c r="M47" s="69" t="s">
        <v>108</v>
      </c>
      <c r="N47" s="42"/>
      <c r="O47" s="64" t="s">
        <v>108</v>
      </c>
      <c r="P47" s="64" t="s">
        <v>88</v>
      </c>
      <c r="Q47" s="69" t="s">
        <v>88</v>
      </c>
      <c r="R47" s="42"/>
      <c r="S47" s="64" t="s">
        <v>108</v>
      </c>
      <c r="T47" s="64" t="s">
        <v>88</v>
      </c>
      <c r="U47" s="69" t="s">
        <v>88</v>
      </c>
      <c r="V47" s="42"/>
      <c r="W47" s="64" t="s">
        <v>108</v>
      </c>
      <c r="X47" s="64" t="s">
        <v>88</v>
      </c>
      <c r="Y47" s="69" t="s">
        <v>88</v>
      </c>
      <c r="Z47" s="42"/>
      <c r="AA47" s="64" t="s">
        <v>108</v>
      </c>
      <c r="AB47" s="64" t="s">
        <v>88</v>
      </c>
      <c r="AC47" s="69" t="s">
        <v>88</v>
      </c>
      <c r="AD47" s="42"/>
      <c r="AE47" s="64" t="s">
        <v>108</v>
      </c>
      <c r="AF47" s="64" t="s">
        <v>88</v>
      </c>
      <c r="AG47" s="69" t="s">
        <v>88</v>
      </c>
      <c r="AH47" s="42"/>
    </row>
    <row r="48" spans="1:34" x14ac:dyDescent="0.25">
      <c r="A48" s="42"/>
      <c r="B48" s="42"/>
      <c r="C48" s="103" t="s">
        <v>2</v>
      </c>
      <c r="D48" s="103" t="s">
        <v>2</v>
      </c>
      <c r="E48" s="99" t="s">
        <v>119</v>
      </c>
      <c r="F48" s="68"/>
      <c r="G48" s="68" t="s">
        <v>5</v>
      </c>
      <c r="H48" s="68" t="s">
        <v>5</v>
      </c>
      <c r="I48" s="55" t="s">
        <v>119</v>
      </c>
      <c r="J48" s="42"/>
      <c r="K48" s="68" t="s">
        <v>4</v>
      </c>
      <c r="L48" s="68" t="s">
        <v>4</v>
      </c>
      <c r="M48" s="43" t="s">
        <v>119</v>
      </c>
      <c r="N48" s="42"/>
      <c r="O48" s="68" t="s">
        <v>3</v>
      </c>
      <c r="P48" s="68" t="s">
        <v>3</v>
      </c>
      <c r="Q48" s="43" t="s">
        <v>119</v>
      </c>
      <c r="R48" s="42"/>
      <c r="S48" s="68" t="s">
        <v>2</v>
      </c>
      <c r="T48" s="68" t="s">
        <v>2</v>
      </c>
      <c r="U48" s="43" t="s">
        <v>119</v>
      </c>
      <c r="V48" s="42"/>
      <c r="W48" s="68" t="s">
        <v>5</v>
      </c>
      <c r="X48" s="68" t="s">
        <v>5</v>
      </c>
      <c r="Y48" s="43" t="s">
        <v>119</v>
      </c>
      <c r="Z48" s="42"/>
      <c r="AA48" s="68" t="s">
        <v>4</v>
      </c>
      <c r="AB48" s="68" t="s">
        <v>4</v>
      </c>
      <c r="AC48" s="42" t="s">
        <v>119</v>
      </c>
      <c r="AD48" s="42"/>
      <c r="AE48" s="68" t="s">
        <v>4</v>
      </c>
      <c r="AF48" s="68" t="s">
        <v>4</v>
      </c>
      <c r="AG48" s="42" t="s">
        <v>119</v>
      </c>
      <c r="AH48" s="42"/>
    </row>
    <row r="49" spans="1:34" ht="18.75" x14ac:dyDescent="0.3">
      <c r="A49" s="66"/>
      <c r="B49" s="66"/>
      <c r="C49" s="102" t="s">
        <v>7</v>
      </c>
      <c r="D49" s="102" t="s">
        <v>7</v>
      </c>
      <c r="E49" s="108" t="s">
        <v>118</v>
      </c>
      <c r="F49" s="90"/>
      <c r="G49" s="64" t="s">
        <v>10</v>
      </c>
      <c r="H49" s="64" t="s">
        <v>10</v>
      </c>
      <c r="I49" s="67" t="s">
        <v>118</v>
      </c>
      <c r="J49" s="66"/>
      <c r="K49" s="64" t="s">
        <v>9</v>
      </c>
      <c r="L49" s="64" t="s">
        <v>9</v>
      </c>
      <c r="M49" s="65" t="s">
        <v>118</v>
      </c>
      <c r="N49" s="42"/>
      <c r="O49" s="64" t="s">
        <v>8</v>
      </c>
      <c r="P49" s="64" t="s">
        <v>8</v>
      </c>
      <c r="Q49" s="65" t="s">
        <v>118</v>
      </c>
      <c r="R49" s="42"/>
      <c r="S49" s="64" t="s">
        <v>7</v>
      </c>
      <c r="T49" s="64" t="s">
        <v>7</v>
      </c>
      <c r="U49" s="65" t="s">
        <v>118</v>
      </c>
      <c r="V49" s="42"/>
      <c r="W49" s="64" t="s">
        <v>10</v>
      </c>
      <c r="X49" s="64" t="s">
        <v>10</v>
      </c>
      <c r="Y49" s="65" t="s">
        <v>118</v>
      </c>
      <c r="Z49" s="42"/>
      <c r="AA49" s="64" t="s">
        <v>9</v>
      </c>
      <c r="AB49" s="64" t="s">
        <v>9</v>
      </c>
      <c r="AC49" s="58" t="s">
        <v>118</v>
      </c>
      <c r="AD49" s="42"/>
      <c r="AE49" s="64" t="s">
        <v>8</v>
      </c>
      <c r="AF49" s="64" t="s">
        <v>8</v>
      </c>
      <c r="AG49" s="58" t="s">
        <v>118</v>
      </c>
      <c r="AH49" s="42"/>
    </row>
    <row r="50" spans="1:34" x14ac:dyDescent="0.25">
      <c r="A50" s="47" t="s">
        <v>11</v>
      </c>
      <c r="B50" s="47"/>
      <c r="C50" s="3">
        <f>C40</f>
        <v>7164</v>
      </c>
      <c r="D50" s="3">
        <f t="shared" ref="D50:E50" si="0">D40</f>
        <v>2357</v>
      </c>
      <c r="E50" s="3">
        <f t="shared" si="0"/>
        <v>2455</v>
      </c>
      <c r="F50" s="63"/>
      <c r="G50" s="63">
        <v>4809</v>
      </c>
      <c r="H50" s="63">
        <v>950</v>
      </c>
      <c r="I50" s="62">
        <v>997</v>
      </c>
      <c r="J50" s="47"/>
      <c r="K50" s="53">
        <v>3506</v>
      </c>
      <c r="L50" s="52">
        <v>1097</v>
      </c>
      <c r="M50" s="62">
        <v>1105</v>
      </c>
      <c r="N50" s="42"/>
      <c r="O50" s="52">
        <f>O40</f>
        <v>3997</v>
      </c>
      <c r="P50" s="42">
        <v>1813</v>
      </c>
      <c r="Q50" s="52">
        <f>Q40</f>
        <v>1829</v>
      </c>
      <c r="R50" s="42"/>
      <c r="S50" s="52">
        <v>2357</v>
      </c>
      <c r="T50" s="52">
        <v>1353</v>
      </c>
      <c r="U50" s="49"/>
      <c r="V50" s="42"/>
      <c r="W50" s="42">
        <v>950</v>
      </c>
      <c r="X50" s="52">
        <v>3462</v>
      </c>
      <c r="Y50" s="42"/>
      <c r="Z50" s="42"/>
      <c r="AA50" s="52">
        <v>1097</v>
      </c>
      <c r="AB50" s="52">
        <v>7315</v>
      </c>
      <c r="AC50" s="42"/>
      <c r="AD50" s="42"/>
      <c r="AE50" s="52">
        <v>4404</v>
      </c>
      <c r="AF50" s="52">
        <v>12130</v>
      </c>
      <c r="AG50" s="42"/>
      <c r="AH50" s="42"/>
    </row>
    <row r="51" spans="1:34" x14ac:dyDescent="0.25">
      <c r="A51" s="47" t="s">
        <v>12</v>
      </c>
      <c r="B51" s="47"/>
      <c r="C51" s="98">
        <v>641</v>
      </c>
      <c r="D51" s="104">
        <v>106</v>
      </c>
      <c r="E51" s="95">
        <v>109</v>
      </c>
      <c r="F51" s="53"/>
      <c r="G51" s="53">
        <v>187</v>
      </c>
      <c r="H51" s="56">
        <v>3</v>
      </c>
      <c r="I51" s="53">
        <v>3</v>
      </c>
      <c r="J51" s="47"/>
      <c r="K51" s="53">
        <v>168</v>
      </c>
      <c r="L51" s="42">
        <v>9</v>
      </c>
      <c r="M51" s="53">
        <v>9</v>
      </c>
      <c r="N51" s="42"/>
      <c r="O51" s="52">
        <f>'[1]Income Statement'!J8</f>
        <v>267</v>
      </c>
      <c r="P51" s="52">
        <f>'[1]Income Statement'!E8</f>
        <v>88</v>
      </c>
      <c r="Q51" s="52">
        <v>161</v>
      </c>
      <c r="R51" s="42"/>
      <c r="S51" s="42">
        <v>105</v>
      </c>
      <c r="T51" s="42">
        <v>30</v>
      </c>
      <c r="U51" s="49"/>
      <c r="V51" s="42"/>
      <c r="W51" s="42">
        <v>3</v>
      </c>
      <c r="X51" s="42">
        <v>201</v>
      </c>
      <c r="Y51" s="42"/>
      <c r="Z51" s="42"/>
      <c r="AA51" s="42">
        <v>9</v>
      </c>
      <c r="AB51" s="42">
        <v>245</v>
      </c>
      <c r="AC51" s="42"/>
      <c r="AD51" s="42"/>
      <c r="AE51" s="42">
        <v>117</v>
      </c>
      <c r="AF51" s="42">
        <v>476</v>
      </c>
      <c r="AG51" s="42"/>
      <c r="AH51" s="42"/>
    </row>
    <row r="52" spans="1:34" x14ac:dyDescent="0.25">
      <c r="A52" s="47" t="s">
        <v>117</v>
      </c>
      <c r="B52" s="47"/>
      <c r="C52" s="98">
        <v>322</v>
      </c>
      <c r="D52" s="104">
        <v>303</v>
      </c>
      <c r="E52" s="95">
        <v>324</v>
      </c>
      <c r="F52" s="53"/>
      <c r="G52" s="53">
        <v>424</v>
      </c>
      <c r="H52" s="56">
        <v>282</v>
      </c>
      <c r="I52" s="53">
        <v>294</v>
      </c>
      <c r="J52" s="47"/>
      <c r="K52" s="53">
        <v>464</v>
      </c>
      <c r="L52" s="42">
        <v>231</v>
      </c>
      <c r="M52" s="53">
        <v>225</v>
      </c>
      <c r="N52" s="42"/>
      <c r="O52" s="52">
        <f>'[1]Income Statement'!J9</f>
        <v>350</v>
      </c>
      <c r="P52" s="52">
        <f>'[1]Income Statement'!E9</f>
        <v>163</v>
      </c>
      <c r="Q52" s="52">
        <v>86</v>
      </c>
      <c r="R52" s="42"/>
      <c r="S52" s="42">
        <v>303</v>
      </c>
      <c r="T52" s="42">
        <v>188</v>
      </c>
      <c r="U52" s="49"/>
      <c r="V52" s="42"/>
      <c r="W52" s="42">
        <v>282</v>
      </c>
      <c r="X52" s="42">
        <v>160</v>
      </c>
      <c r="Y52" s="42"/>
      <c r="Z52" s="42"/>
      <c r="AA52" s="42">
        <v>231</v>
      </c>
      <c r="AB52" s="42">
        <v>366</v>
      </c>
      <c r="AC52" s="42"/>
      <c r="AD52" s="42"/>
      <c r="AE52" s="42">
        <v>816</v>
      </c>
      <c r="AF52" s="42">
        <v>714</v>
      </c>
      <c r="AG52" s="42"/>
      <c r="AH52" s="42"/>
    </row>
    <row r="53" spans="1:34" x14ac:dyDescent="0.25">
      <c r="A53" s="47" t="s">
        <v>13</v>
      </c>
      <c r="B53" s="47"/>
      <c r="C53" s="105">
        <v>706</v>
      </c>
      <c r="D53" s="106">
        <v>486</v>
      </c>
      <c r="E53" s="110">
        <v>505</v>
      </c>
      <c r="F53" s="91"/>
      <c r="G53" s="60">
        <v>807</v>
      </c>
      <c r="H53" s="61">
        <v>229</v>
      </c>
      <c r="I53" s="60">
        <v>241</v>
      </c>
      <c r="J53" s="47"/>
      <c r="K53" s="60">
        <v>686</v>
      </c>
      <c r="L53" s="58">
        <v>400</v>
      </c>
      <c r="M53" s="60">
        <v>403</v>
      </c>
      <c r="N53" s="42"/>
      <c r="O53" s="59">
        <f>'[1]Income Statement'!J10</f>
        <v>497</v>
      </c>
      <c r="P53" s="59">
        <f>'[1]Income Statement'!E10</f>
        <v>366</v>
      </c>
      <c r="Q53" s="59">
        <v>370</v>
      </c>
      <c r="R53" s="42"/>
      <c r="S53" s="58">
        <v>487</v>
      </c>
      <c r="T53" s="58">
        <v>228</v>
      </c>
      <c r="U53" s="49"/>
      <c r="V53" s="42"/>
      <c r="W53" s="58">
        <v>229</v>
      </c>
      <c r="X53" s="58">
        <v>553</v>
      </c>
      <c r="Y53" s="58"/>
      <c r="Z53" s="42"/>
      <c r="AA53" s="58">
        <v>400</v>
      </c>
      <c r="AB53" s="58">
        <v>671</v>
      </c>
      <c r="AC53" s="58"/>
      <c r="AD53" s="42"/>
      <c r="AE53" s="59">
        <v>1116</v>
      </c>
      <c r="AF53" s="59">
        <v>1452</v>
      </c>
      <c r="AG53" s="58"/>
      <c r="AH53" s="42"/>
    </row>
    <row r="54" spans="1:34" x14ac:dyDescent="0.25">
      <c r="A54" s="57" t="s">
        <v>116</v>
      </c>
      <c r="B54" s="47"/>
      <c r="C54" s="98">
        <f>SUM(C50:C53)</f>
        <v>8833</v>
      </c>
      <c r="D54" s="98">
        <f>SUM(D50:D53)</f>
        <v>3252</v>
      </c>
      <c r="E54" s="98">
        <f>SUM(E50:E53)</f>
        <v>3393</v>
      </c>
      <c r="F54" s="53"/>
      <c r="G54" s="53">
        <f>SUM(G50:G53)</f>
        <v>6227</v>
      </c>
      <c r="H54" s="53">
        <f>SUM(H50:H53)</f>
        <v>1464</v>
      </c>
      <c r="I54" s="53">
        <f>SUM(I50:I53)</f>
        <v>1535</v>
      </c>
      <c r="J54" s="47"/>
      <c r="K54" s="53">
        <f>SUM(K50:K53)</f>
        <v>4824</v>
      </c>
      <c r="L54" s="53">
        <f>SUM(L50:L53)</f>
        <v>1737</v>
      </c>
      <c r="M54" s="53">
        <f>SUM(M50:M53)</f>
        <v>1742</v>
      </c>
      <c r="N54" s="42"/>
      <c r="O54" s="52">
        <f>SUM(O50:O53)</f>
        <v>5111</v>
      </c>
      <c r="P54" s="52">
        <f>SUM(P50:P53)</f>
        <v>2430</v>
      </c>
      <c r="Q54" s="52">
        <f>SUM(Q50:Q53)</f>
        <v>2446</v>
      </c>
      <c r="R54" s="42"/>
      <c r="S54" s="52">
        <v>3252</v>
      </c>
      <c r="T54" s="52">
        <v>1799</v>
      </c>
      <c r="U54" s="52">
        <v>1812</v>
      </c>
      <c r="V54" s="42"/>
      <c r="W54" s="52">
        <v>1464</v>
      </c>
      <c r="X54" s="52">
        <v>4376</v>
      </c>
      <c r="Y54" s="52">
        <v>4172</v>
      </c>
      <c r="Z54" s="42"/>
      <c r="AA54" s="52">
        <v>1737</v>
      </c>
      <c r="AB54" s="52">
        <v>8597</v>
      </c>
      <c r="AC54" s="52">
        <v>8184</v>
      </c>
      <c r="AD54" s="42"/>
      <c r="AE54" s="52">
        <v>6453</v>
      </c>
      <c r="AF54" s="52">
        <v>14772</v>
      </c>
      <c r="AG54" s="52">
        <v>14167</v>
      </c>
      <c r="AH54" s="42"/>
    </row>
    <row r="55" spans="1:34" x14ac:dyDescent="0.25">
      <c r="A55" s="42"/>
      <c r="B55" s="42"/>
      <c r="E55" s="99"/>
      <c r="F55" s="56"/>
      <c r="G55" s="56"/>
      <c r="H55" s="56"/>
      <c r="I55" s="55"/>
      <c r="J55" s="42"/>
      <c r="L55" s="42"/>
      <c r="M55" s="54"/>
      <c r="N55" s="42"/>
      <c r="O55" s="42"/>
      <c r="P55" s="42"/>
      <c r="Q55" s="43"/>
      <c r="R55" s="101"/>
      <c r="S55" s="101"/>
      <c r="T55" s="43"/>
      <c r="U55" s="42"/>
      <c r="V55" s="101"/>
      <c r="W55" s="101"/>
      <c r="X55" s="43"/>
      <c r="Y55" s="42"/>
      <c r="Z55" s="101"/>
      <c r="AA55" s="101"/>
      <c r="AB55" s="43"/>
      <c r="AC55" s="42"/>
      <c r="AD55" s="101"/>
      <c r="AE55" s="101"/>
      <c r="AF55" s="42"/>
      <c r="AG55" s="42"/>
      <c r="AH55" s="42"/>
    </row>
    <row r="56" spans="1:34" x14ac:dyDescent="0.25">
      <c r="A56" s="48" t="s">
        <v>115</v>
      </c>
      <c r="B56" s="47"/>
      <c r="C56" s="98">
        <f>C12</f>
        <v>9308</v>
      </c>
      <c r="D56" s="98">
        <f>D12</f>
        <v>4924</v>
      </c>
      <c r="E56" s="98">
        <f>D56</f>
        <v>4924</v>
      </c>
      <c r="F56" s="53"/>
      <c r="G56" s="53">
        <f>G12</f>
        <v>7306.1759949999996</v>
      </c>
      <c r="H56" s="53">
        <f>H12</f>
        <v>2534</v>
      </c>
      <c r="I56" s="53">
        <f>H56</f>
        <v>2534</v>
      </c>
      <c r="J56" s="47"/>
      <c r="K56" s="53">
        <f>K12</f>
        <v>7072.152</v>
      </c>
      <c r="L56" s="53">
        <f>L12</f>
        <v>2768.5830000000001</v>
      </c>
      <c r="M56" s="53">
        <f>L56</f>
        <v>2768.5830000000001</v>
      </c>
      <c r="N56" s="42"/>
      <c r="O56" s="52">
        <f>O12</f>
        <v>7026</v>
      </c>
      <c r="P56" s="52">
        <f>P12</f>
        <v>3923</v>
      </c>
      <c r="Q56" s="42">
        <v>3923</v>
      </c>
      <c r="R56" s="42"/>
      <c r="S56" s="52">
        <v>4924</v>
      </c>
      <c r="T56" s="52">
        <v>1929</v>
      </c>
      <c r="U56" s="52">
        <v>1929</v>
      </c>
      <c r="V56" s="42"/>
      <c r="W56" s="52">
        <v>2534</v>
      </c>
      <c r="X56" s="52">
        <v>6256</v>
      </c>
      <c r="Y56" s="52">
        <v>6256</v>
      </c>
      <c r="Z56" s="42"/>
      <c r="AA56" s="52">
        <v>2769</v>
      </c>
      <c r="AB56" s="52">
        <v>11258</v>
      </c>
      <c r="AC56" s="52">
        <v>11258</v>
      </c>
      <c r="AD56" s="42"/>
      <c r="AE56" s="52">
        <v>10227</v>
      </c>
      <c r="AF56" s="52">
        <v>19442</v>
      </c>
      <c r="AG56" s="52">
        <v>19442</v>
      </c>
      <c r="AH56" s="42"/>
    </row>
    <row r="57" spans="1:34" x14ac:dyDescent="0.25">
      <c r="A57" s="48"/>
      <c r="B57" s="47"/>
      <c r="C57" s="100"/>
      <c r="D57" s="100"/>
      <c r="E57" s="96"/>
      <c r="F57" s="47"/>
      <c r="G57" s="47"/>
      <c r="H57" s="47"/>
      <c r="I57" s="49"/>
      <c r="J57" s="47"/>
      <c r="K57" s="51"/>
      <c r="L57" s="47"/>
      <c r="M57" s="50"/>
      <c r="N57" s="47"/>
      <c r="O57" s="47"/>
      <c r="P57" s="47"/>
      <c r="Q57" s="49"/>
      <c r="R57" s="101"/>
      <c r="S57" s="101"/>
      <c r="T57" s="43"/>
      <c r="U57" s="42"/>
      <c r="V57" s="101"/>
      <c r="W57" s="101"/>
      <c r="X57" s="43"/>
      <c r="Y57" s="42"/>
      <c r="Z57" s="101"/>
      <c r="AA57" s="101"/>
      <c r="AB57" s="43"/>
      <c r="AC57" s="42"/>
      <c r="AD57" s="101"/>
      <c r="AE57" s="101"/>
      <c r="AF57" s="42"/>
      <c r="AG57" s="42"/>
      <c r="AH57" s="42"/>
    </row>
    <row r="58" spans="1:34" x14ac:dyDescent="0.25">
      <c r="A58" s="48" t="s">
        <v>114</v>
      </c>
      <c r="B58" s="47"/>
      <c r="C58" s="97">
        <f>C54/C56</f>
        <v>0.94896862913622693</v>
      </c>
      <c r="D58" s="97">
        <f>D54/D56</f>
        <v>0.66043866774979687</v>
      </c>
      <c r="E58" s="97">
        <f>E54/E56</f>
        <v>0.68907392363931763</v>
      </c>
      <c r="F58" s="45"/>
      <c r="G58" s="45">
        <f>G54/G56</f>
        <v>0.85229263629311192</v>
      </c>
      <c r="H58" s="45">
        <f>H54/H56</f>
        <v>0.5777426992896606</v>
      </c>
      <c r="I58" s="45">
        <f>I54/I56</f>
        <v>0.60576164167324387</v>
      </c>
      <c r="J58" s="46"/>
      <c r="K58" s="45">
        <f>K54/K56</f>
        <v>0.68211203605352377</v>
      </c>
      <c r="L58" s="45">
        <f>L54/L56</f>
        <v>0.62739675855843946</v>
      </c>
      <c r="M58" s="45">
        <f>M54/M56</f>
        <v>0.62920273656234971</v>
      </c>
      <c r="N58" s="42"/>
      <c r="O58" s="44">
        <f>O54/O56</f>
        <v>0.72744093367492169</v>
      </c>
      <c r="P58" s="44">
        <f>P54/P56</f>
        <v>0.61942391027275046</v>
      </c>
      <c r="Q58" s="44">
        <f>Q54/Q56</f>
        <v>0.62350242161611014</v>
      </c>
      <c r="R58" s="42"/>
      <c r="S58" s="42">
        <v>0.66</v>
      </c>
      <c r="T58" s="42">
        <v>0.93</v>
      </c>
      <c r="U58" s="42">
        <v>0.94</v>
      </c>
      <c r="V58" s="42"/>
      <c r="W58" s="42">
        <v>0.57999999999999996</v>
      </c>
      <c r="X58" s="42">
        <v>0.7</v>
      </c>
      <c r="Y58" s="42">
        <v>0.67</v>
      </c>
      <c r="Z58" s="42"/>
      <c r="AA58" s="42">
        <v>0.63</v>
      </c>
      <c r="AB58" s="42">
        <v>0.76</v>
      </c>
      <c r="AC58" s="42">
        <v>0.73</v>
      </c>
      <c r="AD58" s="42"/>
      <c r="AE58" s="42">
        <v>0.63</v>
      </c>
      <c r="AF58" s="42">
        <v>0.76</v>
      </c>
      <c r="AG58" s="42">
        <v>0.73</v>
      </c>
      <c r="AH58" s="42"/>
    </row>
    <row r="59" spans="1:34" x14ac:dyDescent="0.25">
      <c r="A59" s="42"/>
      <c r="B59" s="42"/>
      <c r="H59" s="42"/>
      <c r="I59" s="43"/>
      <c r="J59" s="42"/>
      <c r="L59" s="42"/>
      <c r="M59" s="43"/>
      <c r="N59" s="42"/>
      <c r="O59" s="42"/>
      <c r="P59" s="42"/>
      <c r="Q59" s="43"/>
      <c r="R59" s="101"/>
      <c r="S59" s="101"/>
      <c r="T59" s="42"/>
      <c r="U59" s="43"/>
      <c r="V59" s="101"/>
      <c r="W59" s="101"/>
      <c r="X59" s="42"/>
      <c r="Y59" s="42"/>
      <c r="Z59" s="101"/>
      <c r="AA59" s="101"/>
      <c r="AB59" s="43"/>
      <c r="AC59" s="42"/>
      <c r="AD59" s="101"/>
      <c r="AE59" s="101"/>
      <c r="AF59" s="42"/>
      <c r="AG59" s="42"/>
      <c r="AH59" s="42"/>
    </row>
    <row r="60" spans="1:34" x14ac:dyDescent="0.25">
      <c r="A60" s="42"/>
      <c r="B60" s="42"/>
      <c r="H60" s="42"/>
      <c r="I60" s="43"/>
      <c r="J60" s="42"/>
      <c r="L60" s="42"/>
      <c r="M60" s="43"/>
      <c r="N60" s="42"/>
      <c r="O60" s="42"/>
      <c r="P60" s="42"/>
      <c r="Q60" s="43"/>
      <c r="R60" s="101"/>
      <c r="S60" s="101"/>
      <c r="T60" s="42"/>
      <c r="U60" s="43"/>
      <c r="V60" s="101"/>
      <c r="W60" s="101"/>
      <c r="X60" s="42"/>
      <c r="Y60" s="42"/>
      <c r="Z60" s="101"/>
      <c r="AA60" s="101"/>
      <c r="AB60" s="43"/>
      <c r="AC60" s="42"/>
      <c r="AD60" s="101"/>
      <c r="AE60" s="101"/>
      <c r="AF60" s="42"/>
      <c r="AG60" s="42"/>
      <c r="AH60" s="42"/>
    </row>
    <row r="61" spans="1:34" x14ac:dyDescent="0.25">
      <c r="A61" s="42"/>
      <c r="B61" s="42"/>
      <c r="H61" s="42"/>
      <c r="I61" s="43"/>
      <c r="J61" s="42"/>
      <c r="L61" s="42"/>
      <c r="M61" s="43"/>
      <c r="N61" s="42"/>
      <c r="O61" s="42"/>
      <c r="P61" s="42"/>
      <c r="Q61" s="43"/>
      <c r="R61" s="101"/>
      <c r="S61" s="101"/>
      <c r="T61" s="42"/>
      <c r="U61" s="43"/>
      <c r="V61" s="101"/>
      <c r="W61" s="101"/>
      <c r="X61" s="42"/>
      <c r="Y61" s="42"/>
      <c r="Z61" s="101"/>
      <c r="AA61" s="101"/>
      <c r="AB61" s="43"/>
      <c r="AC61" s="42"/>
      <c r="AD61" s="101"/>
      <c r="AE61" s="101"/>
      <c r="AF61" s="42"/>
      <c r="AG61" s="42"/>
      <c r="AH61" s="42"/>
    </row>
  </sheetData>
  <mergeCells count="96">
    <mergeCell ref="R1:S1"/>
    <mergeCell ref="V1:W1"/>
    <mergeCell ref="Z1:AA1"/>
    <mergeCell ref="AD1:AE1"/>
    <mergeCell ref="R2:S2"/>
    <mergeCell ref="V2:W2"/>
    <mergeCell ref="Z2:AA2"/>
    <mergeCell ref="R11:S11"/>
    <mergeCell ref="V11:W11"/>
    <mergeCell ref="Z11:AA11"/>
    <mergeCell ref="AD11:AE11"/>
    <mergeCell ref="R14:S14"/>
    <mergeCell ref="V14:W14"/>
    <mergeCell ref="Z14:AA14"/>
    <mergeCell ref="AD14:AE14"/>
    <mergeCell ref="R15:S15"/>
    <mergeCell ref="V15:W15"/>
    <mergeCell ref="Z15:AA15"/>
    <mergeCell ref="AD15:AE15"/>
    <mergeCell ref="R16:S16"/>
    <mergeCell ref="V16:W16"/>
    <mergeCell ref="Z16:AA16"/>
    <mergeCell ref="AD16:AE16"/>
    <mergeCell ref="R18:S18"/>
    <mergeCell ref="V18:W18"/>
    <mergeCell ref="Z18:AA18"/>
    <mergeCell ref="V20:W20"/>
    <mergeCell ref="Z20:AA20"/>
    <mergeCell ref="R22:S22"/>
    <mergeCell ref="V22:W22"/>
    <mergeCell ref="Z22:AA22"/>
    <mergeCell ref="AD22:AE22"/>
    <mergeCell ref="R24:S24"/>
    <mergeCell ref="V24:W24"/>
    <mergeCell ref="Z24:AA24"/>
    <mergeCell ref="AD24:AE24"/>
    <mergeCell ref="R25:S25"/>
    <mergeCell ref="V25:W25"/>
    <mergeCell ref="Z25:AA25"/>
    <mergeCell ref="AD25:AE25"/>
    <mergeCell ref="R30:S30"/>
    <mergeCell ref="V30:W30"/>
    <mergeCell ref="Z30:AA30"/>
    <mergeCell ref="AD30:AE30"/>
    <mergeCell ref="R32:S32"/>
    <mergeCell ref="V32:W32"/>
    <mergeCell ref="Z32:AA32"/>
    <mergeCell ref="AD32:AE32"/>
    <mergeCell ref="R34:S34"/>
    <mergeCell ref="V34:W34"/>
    <mergeCell ref="Z34:AA34"/>
    <mergeCell ref="AD34:AE34"/>
    <mergeCell ref="R35:S35"/>
    <mergeCell ref="V35:W35"/>
    <mergeCell ref="Z35:AA35"/>
    <mergeCell ref="AD35:AE35"/>
    <mergeCell ref="R36:S36"/>
    <mergeCell ref="V36:W36"/>
    <mergeCell ref="Z36:AA36"/>
    <mergeCell ref="AD36:AE36"/>
    <mergeCell ref="R41:S41"/>
    <mergeCell ref="V41:W41"/>
    <mergeCell ref="Z41:AA41"/>
    <mergeCell ref="AD41:AE41"/>
    <mergeCell ref="R43:S43"/>
    <mergeCell ref="V43:W43"/>
    <mergeCell ref="Z43:AA43"/>
    <mergeCell ref="AD43:AE43"/>
    <mergeCell ref="R45:S45"/>
    <mergeCell ref="V45:W45"/>
    <mergeCell ref="Z45:AA45"/>
    <mergeCell ref="AD45:AE45"/>
    <mergeCell ref="R46:S46"/>
    <mergeCell ref="V46:W46"/>
    <mergeCell ref="Z46:AA46"/>
    <mergeCell ref="AD46:AE46"/>
    <mergeCell ref="R55:S55"/>
    <mergeCell ref="V55:W55"/>
    <mergeCell ref="Z55:AA55"/>
    <mergeCell ref="AD55:AE55"/>
    <mergeCell ref="R57:S57"/>
    <mergeCell ref="V57:W57"/>
    <mergeCell ref="Z57:AA57"/>
    <mergeCell ref="AD57:AE57"/>
    <mergeCell ref="R61:S61"/>
    <mergeCell ref="V61:W61"/>
    <mergeCell ref="Z61:AA61"/>
    <mergeCell ref="AD61:AE61"/>
    <mergeCell ref="R59:S59"/>
    <mergeCell ref="V59:W59"/>
    <mergeCell ref="Z59:AA59"/>
    <mergeCell ref="AD59:AE59"/>
    <mergeCell ref="R60:S60"/>
    <mergeCell ref="V60:W60"/>
    <mergeCell ref="Z60:AA60"/>
    <mergeCell ref="AD60:AE60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_dlc_DocId xmlns="9415a8b7-dc6c-4703-921b-c3bd40dfa113">CEP75RKCEUZV-1429125831-58084</_dlc_DocId>
    <_dlc_DocIdUrl xmlns="9415a8b7-dc6c-4703-921b-c3bd40dfa113">
      <Url>https://scandinavianairlinessystem.sharepoint.com/sites/S01628/_layouts/15/DocIdRedir.aspx?ID=CEP75RKCEUZV-1429125831-58084</Url>
      <Description>CEP75RKCEUZV-1429125831-58084</Description>
    </_dlc_DocIdUrl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7284629F0D0A4A8C8E2F6434093CEF" ma:contentTypeVersion="11" ma:contentTypeDescription="Create a new document." ma:contentTypeScope="" ma:versionID="81cff8f5a453d733df80d86d4c124ef8">
  <xsd:schema xmlns:xsd="http://www.w3.org/2001/XMLSchema" xmlns:xs="http://www.w3.org/2001/XMLSchema" xmlns:p="http://schemas.microsoft.com/office/2006/metadata/properties" xmlns:ns2="9415a8b7-dc6c-4703-921b-c3bd40dfa113" xmlns:ns3="e2b8da78-8c70-4e54-8e3f-3e64575ae984" targetNamespace="http://schemas.microsoft.com/office/2006/metadata/properties" ma:root="true" ma:fieldsID="241b01e174e77f59453dd53a34f5ca23" ns2:_="" ns3:_="">
    <xsd:import namespace="9415a8b7-dc6c-4703-921b-c3bd40dfa113"/>
    <xsd:import namespace="e2b8da78-8c70-4e54-8e3f-3e64575ae98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2:_dlc_DocId" minOccurs="0"/>
                <xsd:element ref="ns2:_dlc_DocIdUrl" minOccurs="0"/>
                <xsd:element ref="ns2:_dlc_DocIdPersistId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15a8b7-dc6c-4703-921b-c3bd40dfa11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8da78-8c70-4e54-8e3f-3e64575ae9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63984F-5BD3-44E0-9E91-9CDDC9D7F0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EF24E0-0BC4-464C-83C3-16A05863404B}">
  <ds:schemaRefs>
    <ds:schemaRef ds:uri="e2b8da78-8c70-4e54-8e3f-3e64575ae984"/>
    <ds:schemaRef ds:uri="http://purl.org/dc/terms/"/>
    <ds:schemaRef ds:uri="http://schemas.openxmlformats.org/package/2006/metadata/core-properties"/>
    <ds:schemaRef ds:uri="9415a8b7-dc6c-4703-921b-c3bd40dfa113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BAF7522-6C56-4A56-AF27-0D9175A38E46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E4164F51-04A7-4BD1-B4BF-32573E807DE0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F95F0B87-6CEC-49B1-8B6F-EACB48FFFB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15a8b7-dc6c-4703-921b-c3bd40dfa113"/>
    <ds:schemaRef ds:uri="e2b8da78-8c70-4e54-8e3f-3e64575ae9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Income Statement</vt:lpstr>
      <vt:lpstr>Balance Sheet</vt:lpstr>
      <vt:lpstr>Cash-Flow</vt:lpstr>
      <vt:lpstr>CASK, Yield, PASK &amp; RASK</vt:lpstr>
      <vt:lpstr>'Income Statement'!Print_Titles</vt:lpstr>
    </vt:vector>
  </TitlesOfParts>
  <Manager/>
  <Company>SAS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Erik Stenvall</dc:creator>
  <cp:keywords/>
  <dc:description/>
  <cp:lastModifiedBy>Bergström, Louise (STOUX)</cp:lastModifiedBy>
  <cp:revision/>
  <dcterms:created xsi:type="dcterms:W3CDTF">2009-07-29T11:57:43Z</dcterms:created>
  <dcterms:modified xsi:type="dcterms:W3CDTF">2022-08-25T22:00:58Z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0x010100437284629F0D0A4A8C8E2F6434093CEF</vt:lpwstr>
  </property>
  <property fmtid="{D5CDD505-2E9C-101B-9397-08002B2CF9AE}" pid="3" name="_dlc_ExpireDate">
    <vt:lpwstr>2022-01-31T11:42:10Z</vt:lpwstr>
  </property>
  <property fmtid="{D5CDD505-2E9C-101B-9397-08002B2CF9AE}" pid="4" name="_dlc_policyId">
    <vt:lpwstr/>
  </property>
  <property fmtid="{D5CDD505-2E9C-101B-9397-08002B2CF9AE}" pid="5" name="ItemRetentionFormula">
    <vt:lpwstr/>
  </property>
  <property fmtid="{D5CDD505-2E9C-101B-9397-08002B2CF9AE}" pid="6" name="SV_QUERY_LIST_4F35BF76-6C0D-4D9B-82B2-816C12CF3733">
    <vt:lpwstr>empty_477D106A-C0D6-4607-AEBD-E2C9D60EA279</vt:lpwstr>
  </property>
  <property fmtid="{D5CDD505-2E9C-101B-9397-08002B2CF9AE}" pid="7" name="QFMSP source name">
    <vt:lpwstr/>
  </property>
  <property fmtid="{D5CDD505-2E9C-101B-9397-08002B2CF9AE}" pid="8" name="_dlc_DocIdItemGuid">
    <vt:lpwstr>d2ed516a-eb62-48d2-8708-180e3c756c78</vt:lpwstr>
  </property>
  <property fmtid="{D5CDD505-2E9C-101B-9397-08002B2CF9AE}" pid="9" name="SV_HIDDEN_GRID_QUERY_LIST_4F35BF76-6C0D-4D9B-82B2-816C12CF3733">
    <vt:lpwstr>empty_477D106A-C0D6-4607-AEBD-E2C9D60EA279</vt:lpwstr>
  </property>
  <property fmtid="{D5CDD505-2E9C-101B-9397-08002B2CF9AE}" pid="10" name="MediaServiceImageTags">
    <vt:lpwstr/>
  </property>
</Properties>
</file>