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92316\Desktop\Q421\"/>
    </mc:Choice>
  </mc:AlternateContent>
  <xr:revisionPtr revIDLastSave="0" documentId="8_{DFD0D882-0F34-4124-AC27-5FB78899B72E}" xr6:coauthVersionLast="46" xr6:coauthVersionMax="46" xr10:uidLastSave="{00000000-0000-0000-0000-000000000000}"/>
  <bookViews>
    <workbookView xWindow="-120" yWindow="-120" windowWidth="29040" windowHeight="17640" activeTab="3" xr2:uid="{00000000-000D-0000-FFFF-FFFF00000000}"/>
  </bookViews>
  <sheets>
    <sheet name="Income Statement" sheetId="1" r:id="rId1"/>
    <sheet name="Balance Sheet" sheetId="3" r:id="rId2"/>
    <sheet name="Cash-Flow" sheetId="2" r:id="rId3"/>
    <sheet name="CASK, Yield, PASK &amp; RASK_x0009__x0009__x0009__x0009__x0009__x0009__x0009_" sheetId="4" r:id="rId4"/>
  </sheets>
  <definedNames>
    <definedName name="_xlnm.Print_Titles" localSheetId="0">'Income Statement'!$1:$1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54" i="4" l="1"/>
  <c r="D58" i="4" s="1"/>
  <c r="F23" i="4" l="1"/>
  <c r="G21" i="4"/>
  <c r="G23" i="4" s="1"/>
  <c r="F21" i="4"/>
  <c r="C21" i="4"/>
  <c r="C23" i="4" s="1"/>
  <c r="B21" i="4"/>
  <c r="B23" i="4" s="1"/>
  <c r="C58" i="4" l="1"/>
  <c r="C54" i="4"/>
  <c r="C44" i="4"/>
  <c r="D44" i="4"/>
  <c r="B44" i="4"/>
  <c r="C33" i="4"/>
  <c r="D33" i="4"/>
  <c r="B33" i="4"/>
  <c r="C56" i="4" l="1"/>
  <c r="B56" i="4"/>
  <c r="B53" i="4"/>
  <c r="C53" i="4"/>
  <c r="B51" i="4"/>
  <c r="B54" i="4" s="1"/>
  <c r="B58" i="4" s="1"/>
  <c r="C51" i="4"/>
  <c r="D50" i="4"/>
  <c r="B50" i="4"/>
  <c r="B52" i="4"/>
  <c r="C52" i="4"/>
  <c r="B9" i="4" l="1"/>
  <c r="C9" i="4"/>
  <c r="B8" i="4"/>
  <c r="C8" i="4"/>
  <c r="B7" i="4"/>
  <c r="C7" i="4"/>
  <c r="B6" i="4"/>
  <c r="B10" i="4" s="1"/>
  <c r="C6" i="4"/>
  <c r="C10" i="4" s="1"/>
  <c r="B27" i="2"/>
  <c r="B22" i="2"/>
  <c r="B13" i="2"/>
  <c r="B16" i="2" s="1"/>
  <c r="K81" i="1"/>
  <c r="F25" i="3"/>
  <c r="B17" i="4" l="1"/>
  <c r="B13" i="4"/>
  <c r="C17" i="4"/>
  <c r="C13" i="4"/>
  <c r="B28" i="2"/>
  <c r="B31" i="2" s="1"/>
  <c r="C30" i="3"/>
  <c r="D30" i="3"/>
  <c r="E30" i="3"/>
  <c r="F30" i="3"/>
  <c r="G30" i="3"/>
  <c r="H30" i="3"/>
  <c r="I30" i="3"/>
  <c r="C25" i="3"/>
  <c r="D25" i="3"/>
  <c r="E25" i="3"/>
  <c r="G25" i="3"/>
  <c r="H25" i="3"/>
  <c r="I25" i="3"/>
  <c r="C12" i="3"/>
  <c r="D12" i="3"/>
  <c r="E12" i="3"/>
  <c r="F12" i="3"/>
  <c r="G12" i="3"/>
  <c r="H12" i="3"/>
  <c r="I12" i="3"/>
  <c r="I17" i="3"/>
  <c r="I32" i="3"/>
  <c r="C27" i="2"/>
  <c r="I18" i="3" l="1"/>
  <c r="I20" i="3" l="1"/>
  <c r="I11" i="3"/>
  <c r="I7" i="3"/>
  <c r="H11" i="3"/>
  <c r="H20" i="3"/>
  <c r="H7" i="3"/>
  <c r="G20" i="3"/>
  <c r="G11" i="3"/>
  <c r="G7" i="3"/>
  <c r="E20" i="3"/>
  <c r="E11" i="3"/>
  <c r="E7" i="3"/>
  <c r="D20" i="3"/>
  <c r="D11" i="3"/>
  <c r="D7" i="3"/>
  <c r="C20" i="3"/>
  <c r="C11" i="3"/>
  <c r="C7" i="3"/>
  <c r="F20" i="3"/>
  <c r="B20" i="3"/>
  <c r="F11" i="3"/>
  <c r="F7" i="3"/>
  <c r="B11" i="3"/>
  <c r="B7" i="3"/>
  <c r="F21" i="1" l="1"/>
  <c r="K100" i="1"/>
  <c r="K97" i="1"/>
  <c r="K98" i="1"/>
  <c r="K99" i="1"/>
  <c r="J96" i="1"/>
  <c r="K82" i="1"/>
  <c r="K83" i="1"/>
  <c r="K84" i="1"/>
  <c r="K85" i="1"/>
  <c r="K86" i="1"/>
  <c r="K87" i="1"/>
  <c r="K88" i="1"/>
  <c r="K33" i="1"/>
  <c r="J33" i="1"/>
  <c r="I33" i="1"/>
  <c r="H33" i="1"/>
  <c r="G33" i="1"/>
  <c r="J41" i="1"/>
  <c r="J42" i="1"/>
  <c r="J89" i="1" l="1"/>
  <c r="J80" i="1"/>
  <c r="J95" i="1" s="1"/>
  <c r="J79" i="1"/>
  <c r="J94" i="1" s="1"/>
  <c r="J24" i="1"/>
  <c r="J12" i="1"/>
  <c r="B36" i="3"/>
  <c r="B25" i="3"/>
  <c r="J27" i="1" l="1"/>
  <c r="J30" i="1" s="1"/>
  <c r="J37" i="1" s="1"/>
  <c r="J43" i="1" s="1"/>
  <c r="J101" i="1" s="1"/>
  <c r="I88" i="1"/>
  <c r="G88" i="1"/>
  <c r="F88" i="1"/>
  <c r="E88" i="1"/>
  <c r="D88" i="1"/>
  <c r="C88" i="1"/>
  <c r="B88" i="1"/>
  <c r="I21" i="1"/>
  <c r="I23" i="1"/>
  <c r="G23" i="1"/>
  <c r="G21" i="1"/>
  <c r="E21" i="1"/>
  <c r="E23" i="1"/>
  <c r="D23" i="1"/>
  <c r="D21" i="1"/>
  <c r="B23" i="1"/>
  <c r="C23" i="1"/>
  <c r="C21" i="1"/>
  <c r="E33" i="1"/>
  <c r="D33" i="1"/>
  <c r="C33" i="1"/>
  <c r="B33" i="1"/>
  <c r="J46" i="1" l="1"/>
  <c r="J50" i="1" s="1"/>
  <c r="I45" i="1"/>
  <c r="H45" i="1"/>
  <c r="G45" i="1"/>
  <c r="D18" i="2"/>
  <c r="D9" i="2"/>
  <c r="D8" i="2"/>
  <c r="E9" i="2"/>
  <c r="E8" i="2"/>
  <c r="F34" i="1"/>
  <c r="F32" i="1" l="1"/>
  <c r="F45" i="1"/>
  <c r="F33" i="1"/>
  <c r="F23" i="1"/>
  <c r="F24" i="1" s="1"/>
  <c r="F18" i="2"/>
  <c r="F9" i="2"/>
  <c r="F8" i="2"/>
  <c r="J18" i="2"/>
  <c r="J9" i="2"/>
  <c r="K18" i="2"/>
  <c r="K9" i="2"/>
  <c r="C89" i="1"/>
  <c r="K89" i="1"/>
  <c r="I89" i="1"/>
  <c r="H89" i="1"/>
  <c r="G89" i="1"/>
  <c r="F89" i="1"/>
  <c r="E89" i="1"/>
  <c r="D89" i="1"/>
  <c r="B89" i="1"/>
  <c r="E45" i="1"/>
  <c r="D45" i="1"/>
  <c r="C24" i="1"/>
  <c r="C27" i="1" s="1"/>
  <c r="C30" i="1" s="1"/>
  <c r="C37" i="1" s="1"/>
  <c r="C43" i="1" s="1"/>
  <c r="C46" i="1" s="1"/>
  <c r="C50" i="1" s="1"/>
  <c r="B45" i="1"/>
  <c r="H37" i="1"/>
  <c r="H43" i="1" s="1"/>
  <c r="H46" i="1" s="1"/>
  <c r="H50" i="1" s="1"/>
  <c r="H30" i="1"/>
  <c r="H27" i="1"/>
  <c r="K24" i="1"/>
  <c r="I24" i="1"/>
  <c r="I27" i="1" s="1"/>
  <c r="I30" i="1" s="1"/>
  <c r="I37" i="1" s="1"/>
  <c r="I43" i="1" s="1"/>
  <c r="I46" i="1" s="1"/>
  <c r="I50" i="1" s="1"/>
  <c r="H24" i="1"/>
  <c r="G24" i="1"/>
  <c r="G27" i="1" s="1"/>
  <c r="G30" i="1" s="1"/>
  <c r="G37" i="1" s="1"/>
  <c r="G43" i="1" s="1"/>
  <c r="G46" i="1" s="1"/>
  <c r="G50" i="1" s="1"/>
  <c r="E24" i="1"/>
  <c r="E27" i="1" s="1"/>
  <c r="E30" i="1" s="1"/>
  <c r="D24" i="1"/>
  <c r="D27" i="1" s="1"/>
  <c r="D30" i="1" s="1"/>
  <c r="D37" i="1" s="1"/>
  <c r="D43" i="1" s="1"/>
  <c r="D46" i="1" s="1"/>
  <c r="D50" i="1" s="1"/>
  <c r="B24" i="1"/>
  <c r="I18" i="2"/>
  <c r="I9" i="2"/>
  <c r="B27" i="1" l="1"/>
  <c r="B30" i="1" s="1"/>
  <c r="B37" i="1" s="1"/>
  <c r="B43" i="1" s="1"/>
  <c r="I8" i="2"/>
  <c r="J8" i="2"/>
  <c r="E37" i="1"/>
  <c r="E43" i="1" s="1"/>
  <c r="K8" i="2" l="1"/>
  <c r="B46" i="1"/>
  <c r="B50" i="1" s="1"/>
  <c r="E46" i="1"/>
  <c r="E50" i="1" s="1"/>
  <c r="H8" i="2"/>
  <c r="H18" i="2" l="1"/>
  <c r="H9" i="2"/>
  <c r="G18" i="2"/>
  <c r="G9" i="2"/>
  <c r="G8" i="2"/>
  <c r="B96" i="1" l="1"/>
  <c r="B101" i="1"/>
  <c r="C13" i="2" l="1"/>
  <c r="C16" i="2" s="1"/>
  <c r="B30" i="3"/>
  <c r="B17" i="3"/>
  <c r="B12" i="3"/>
  <c r="K12" i="1"/>
  <c r="K27" i="1" s="1"/>
  <c r="K30" i="1" s="1"/>
  <c r="K37" i="1" s="1"/>
  <c r="K43" i="1" s="1"/>
  <c r="K46" i="1" s="1"/>
  <c r="K50" i="1" s="1"/>
  <c r="C22" i="2" l="1"/>
  <c r="C28" i="2" s="1"/>
  <c r="B32" i="3"/>
  <c r="B18" i="3"/>
  <c r="C31" i="2" l="1"/>
  <c r="K96" i="1"/>
  <c r="K101" i="1" s="1"/>
  <c r="I12" i="1"/>
  <c r="C17" i="3"/>
  <c r="D13" i="2"/>
  <c r="D16" i="2" s="1"/>
  <c r="D22" i="2" l="1"/>
  <c r="D28" i="2" s="1"/>
  <c r="D31" i="2" s="1"/>
  <c r="C32" i="3"/>
  <c r="C18" i="3"/>
  <c r="I96" i="1" l="1"/>
  <c r="I101" i="1" s="1"/>
  <c r="D32" i="3"/>
  <c r="D17" i="3"/>
  <c r="D18" i="3" l="1"/>
  <c r="H12" i="1"/>
  <c r="H96" i="1" l="1"/>
  <c r="H101" i="1" s="1"/>
  <c r="E13" i="2"/>
  <c r="E16" i="2" s="1"/>
  <c r="E22" i="2" l="1"/>
  <c r="E28" i="2" s="1"/>
  <c r="E31" i="2" s="1"/>
  <c r="G95" i="1"/>
  <c r="G94" i="1"/>
  <c r="G93" i="1"/>
  <c r="G12" i="1"/>
  <c r="E17" i="3"/>
  <c r="F13" i="2"/>
  <c r="F16" i="2" s="1"/>
  <c r="F22" i="2" l="1"/>
  <c r="F28" i="2" s="1"/>
  <c r="F31" i="2" s="1"/>
  <c r="E32" i="3"/>
  <c r="E18" i="3"/>
  <c r="G96" i="1" l="1"/>
  <c r="G101" i="1" s="1"/>
  <c r="G13" i="2"/>
  <c r="G16" i="2" s="1"/>
  <c r="H13" i="2"/>
  <c r="H16" i="2" s="1"/>
  <c r="F80" i="1"/>
  <c r="F95" i="1" s="1"/>
  <c r="F79" i="1"/>
  <c r="F94" i="1" s="1"/>
  <c r="F12" i="1"/>
  <c r="F27" i="1" s="1"/>
  <c r="F30" i="1" s="1"/>
  <c r="F37" i="1" s="1"/>
  <c r="F43" i="1" s="1"/>
  <c r="F46" i="1" s="1"/>
  <c r="F50" i="1" s="1"/>
  <c r="F17" i="3"/>
  <c r="G22" i="2" l="1"/>
  <c r="G28" i="2" s="1"/>
  <c r="G31" i="2" s="1"/>
  <c r="H22" i="2"/>
  <c r="H28" i="2" s="1"/>
  <c r="H31" i="2" s="1"/>
  <c r="F32" i="3"/>
  <c r="F18" i="3"/>
  <c r="F96" i="1" l="1"/>
  <c r="F101" i="1" s="1"/>
  <c r="E80" i="1"/>
  <c r="E95" i="1" s="1"/>
  <c r="E79" i="1"/>
  <c r="E94" i="1" s="1"/>
  <c r="E12" i="1"/>
  <c r="D12" i="1" l="1"/>
  <c r="G17" i="3"/>
  <c r="I13" i="2"/>
  <c r="I16" i="2" s="1"/>
  <c r="E96" i="1" l="1"/>
  <c r="E101" i="1" s="1"/>
  <c r="I22" i="2"/>
  <c r="I28" i="2" s="1"/>
  <c r="I31" i="2" s="1"/>
  <c r="G32" i="3"/>
  <c r="G18" i="3"/>
  <c r="H17" i="3"/>
  <c r="D96" i="1" l="1"/>
  <c r="D101" i="1" s="1"/>
  <c r="H18" i="3"/>
  <c r="H32" i="3"/>
  <c r="C96" i="1" l="1"/>
  <c r="C101" i="1" s="1"/>
  <c r="J13" i="2"/>
  <c r="J16" i="2" s="1"/>
  <c r="J22" i="2" l="1"/>
  <c r="J28" i="2" s="1"/>
  <c r="J31" i="2" s="1"/>
  <c r="K27" i="2"/>
  <c r="K13" i="2" l="1"/>
  <c r="K16" i="2" s="1"/>
  <c r="K22" i="2" l="1"/>
  <c r="K28" i="2" s="1"/>
  <c r="K31" i="2" s="1"/>
</calcChain>
</file>

<file path=xl/sharedStrings.xml><?xml version="1.0" encoding="utf-8"?>
<sst xmlns="http://schemas.openxmlformats.org/spreadsheetml/2006/main" count="394" uniqueCount="140">
  <si>
    <t>SAS GROUP</t>
  </si>
  <si>
    <t>Statement of income</t>
  </si>
  <si>
    <t>MAY-</t>
  </si>
  <si>
    <t>AUG-</t>
  </si>
  <si>
    <t>NOV-</t>
  </si>
  <si>
    <t>FEB-</t>
  </si>
  <si>
    <t>(MSEK)</t>
  </si>
  <si>
    <t>JUL</t>
  </si>
  <si>
    <t>OCT</t>
  </si>
  <si>
    <t>JAN</t>
  </si>
  <si>
    <t>APR</t>
  </si>
  <si>
    <t>Passenger revenue</t>
  </si>
  <si>
    <t>Charter revenue</t>
  </si>
  <si>
    <t>Other traffic revenue</t>
  </si>
  <si>
    <t>Other operating revenue</t>
  </si>
  <si>
    <t>Operating revenue</t>
  </si>
  <si>
    <t>Catering costs</t>
  </si>
  <si>
    <t>Handling costs</t>
  </si>
  <si>
    <t>Technical aircraft maintenance</t>
  </si>
  <si>
    <t>Wet lease costs</t>
  </si>
  <si>
    <t>Other expenses</t>
  </si>
  <si>
    <t>Operating expenses</t>
  </si>
  <si>
    <t>Operating income before depreciation</t>
  </si>
  <si>
    <t xml:space="preserve">  and leasing costs, EBITDAR</t>
  </si>
  <si>
    <t>Leasing costs for aircraft</t>
  </si>
  <si>
    <t>Operating income before depreciation, EBITDA</t>
  </si>
  <si>
    <t>Income from the sale of aircraft and buildings</t>
  </si>
  <si>
    <t>Operating income, EBIT</t>
  </si>
  <si>
    <t>Income from other shares and participations</t>
  </si>
  <si>
    <t>Financial income</t>
  </si>
  <si>
    <t>Financial expenses</t>
  </si>
  <si>
    <t>Income before tax</t>
  </si>
  <si>
    <t>Tax</t>
  </si>
  <si>
    <t>Net income</t>
  </si>
  <si>
    <t>Attributable to:</t>
  </si>
  <si>
    <t>Parent Company shareholders</t>
  </si>
  <si>
    <t>Minority interests</t>
  </si>
  <si>
    <t>Specification of other expenses</t>
  </si>
  <si>
    <t>Premises &amp; property costs</t>
  </si>
  <si>
    <t>Rental/lease of fixed assets</t>
  </si>
  <si>
    <t>Printing &amp; expendable material</t>
  </si>
  <si>
    <t>Freight &amp; duty</t>
  </si>
  <si>
    <t>Travel/route expenses</t>
  </si>
  <si>
    <t>Administrative &amp; sundry external services</t>
  </si>
  <si>
    <t>Passenger service on ground</t>
  </si>
  <si>
    <t>Other</t>
  </si>
  <si>
    <t>Total</t>
  </si>
  <si>
    <t>Income before tax and nonrecurring items</t>
  </si>
  <si>
    <t>Impairment losses</t>
  </si>
  <si>
    <t>Restructuring costs</t>
  </si>
  <si>
    <t>Capital gains/losses</t>
  </si>
  <si>
    <t>Other nonrecurring items</t>
  </si>
  <si>
    <t>Oct 31,</t>
  </si>
  <si>
    <t>Jul 31,</t>
  </si>
  <si>
    <t>Apr 30,</t>
  </si>
  <si>
    <t>Jan 31,</t>
  </si>
  <si>
    <t>Tecknat, ej inbetalt kapital</t>
  </si>
  <si>
    <t>Intangible assets</t>
  </si>
  <si>
    <t>Tangible fixed assets</t>
  </si>
  <si>
    <t>Financial fixed assets</t>
  </si>
  <si>
    <t>Total fixed assets</t>
  </si>
  <si>
    <t>Current receivables</t>
  </si>
  <si>
    <t>Cash and cash equivalents</t>
  </si>
  <si>
    <t>Total current assets</t>
  </si>
  <si>
    <t>Total assets</t>
  </si>
  <si>
    <t>Shareholders' equity</t>
  </si>
  <si>
    <t>Total shareholders' equity and liabilities</t>
  </si>
  <si>
    <t>Shareholders' equity per common share (SEK)</t>
  </si>
  <si>
    <t>Interest-bearing assets</t>
  </si>
  <si>
    <t>Interest-bearing liabilities</t>
  </si>
  <si>
    <t>Condensed cash-flow statement</t>
  </si>
  <si>
    <t>Depreciation, amortization and impairment</t>
  </si>
  <si>
    <t>Income from sale of aircraft, buildings and shares</t>
  </si>
  <si>
    <t>Adjustment for other items not included in the cash flow, etc.</t>
  </si>
  <si>
    <t>Tax paid</t>
  </si>
  <si>
    <t>Cash flow from operations before change in working capital</t>
  </si>
  <si>
    <t>Change in working capital</t>
  </si>
  <si>
    <t>Cash flow from operating activities</t>
  </si>
  <si>
    <t>Investments including advance payments to aircraft manufacturers</t>
  </si>
  <si>
    <t>Sale of subsidiaries and affiliated companies</t>
  </si>
  <si>
    <t>Sale of fixed assets, etc.</t>
  </si>
  <si>
    <t>Cash flow before financing activities</t>
  </si>
  <si>
    <t>Hybrid bond</t>
  </si>
  <si>
    <t>New share issue</t>
  </si>
  <si>
    <t>External financing, net</t>
  </si>
  <si>
    <t>Cash flow for the period</t>
  </si>
  <si>
    <t>Translation difference in cash and cash equivalents</t>
  </si>
  <si>
    <t>Change in cash and cash equivalents according to the balance sheet</t>
  </si>
  <si>
    <t>2019-2020</t>
  </si>
  <si>
    <t>Personnel expenses</t>
  </si>
  <si>
    <t>Depreciation Right-of-use assets</t>
  </si>
  <si>
    <t>Depreciation fixed assets</t>
  </si>
  <si>
    <t>Financial expenses IFRS16</t>
  </si>
  <si>
    <t>Computer and telecommunications costs</t>
  </si>
  <si>
    <t>Sales and distribution costs</t>
  </si>
  <si>
    <t>Fuel expenses</t>
  </si>
  <si>
    <t>Inventories and expendable spare parts</t>
  </si>
  <si>
    <t>Interest bearing liabilities</t>
  </si>
  <si>
    <t>Interest bearing leasing liabilities</t>
  </si>
  <si>
    <t>Other liabilities</t>
  </si>
  <si>
    <t>Total non-current liabilities</t>
  </si>
  <si>
    <t>Total current liabilities</t>
  </si>
  <si>
    <t>Amortization of lease liabilities</t>
  </si>
  <si>
    <t>Deferred tax assets</t>
  </si>
  <si>
    <t>Condensed balance sheet</t>
  </si>
  <si>
    <t>Acquisition of subsidiaries and affiliated companies</t>
  </si>
  <si>
    <t>Air traffic charges</t>
  </si>
  <si>
    <t xml:space="preserve">Amortization intangible assets </t>
  </si>
  <si>
    <t>2020-2021</t>
  </si>
  <si>
    <t>Cargo revenue</t>
  </si>
  <si>
    <t>Income from shares in affiliated companies</t>
  </si>
  <si>
    <t>Right-of-Use assets</t>
  </si>
  <si>
    <t xml:space="preserve"> APR 31,</t>
  </si>
  <si>
    <t>YTD</t>
  </si>
  <si>
    <t>CASK calculation</t>
  </si>
  <si>
    <t>Nominal CASK</t>
  </si>
  <si>
    <t>Aircraft leasing costs</t>
  </si>
  <si>
    <t>Depreciation</t>
  </si>
  <si>
    <t>Operating expenditure</t>
  </si>
  <si>
    <t>Total ASK</t>
  </si>
  <si>
    <t>Unit cost, nominal</t>
  </si>
  <si>
    <t>Currency adjusted CASK</t>
  </si>
  <si>
    <t>Exch. rate diff. related to operations</t>
  </si>
  <si>
    <t>Items affecting comparability</t>
  </si>
  <si>
    <t>Adjusted net operating expenditure</t>
  </si>
  <si>
    <t>Unit cost, currency adjusted</t>
  </si>
  <si>
    <t>YIELD calculation</t>
  </si>
  <si>
    <t>Currency</t>
  </si>
  <si>
    <t>adjusted</t>
  </si>
  <si>
    <t>RPK, schedule</t>
  </si>
  <si>
    <t>Yield</t>
  </si>
  <si>
    <t>PASK calculation</t>
  </si>
  <si>
    <t>ASK, schedule</t>
  </si>
  <si>
    <t>PASK</t>
  </si>
  <si>
    <t>RASK calculation</t>
  </si>
  <si>
    <t>Cargo and mail revenue</t>
  </si>
  <si>
    <t>Total traffic revenue</t>
  </si>
  <si>
    <t>ASK, total</t>
  </si>
  <si>
    <t>RASK</t>
  </si>
  <si>
    <t>Currency effects between FY21 and FY20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</si>
</sst>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* #,##0.00\ &quot;kr&quot;_-;\-* #,##0.00\ &quot;kr&quot;_-;_-* &quot;-&quot;??\ &quot;kr&quot;_-;_-@_-"/>
    <numFmt numFmtId="43" formatCode="_-* #,##0.00_-;\-* #,##0.00_-;_-* &quot;-&quot;??_-;_-@_-"/>
    <numFmt numFmtId="164" formatCode="0.00_)"/>
    <numFmt numFmtId="165" formatCode="_-* #,##0.00\ _k_r_-;\-* #,##0.00\ _k_r_-;_-* &quot;-&quot;??\ _k_r_-;_-@_-"/>
    <numFmt numFmtId="166" formatCode="[$-1041D]#,##0;\-#,##0"/>
  </numFmts>
  <fonts count="21" x14ac:knownFonts="1">
    <font>
      <sz val="11"/>
      <color theme="1"/>
      <name val="Calibri"/>
      <family val="2"/>
      <scheme val="minor"/>
    </font>
    <font>
      <b/>
      <sz val="20"/>
      <name val="Scandinavian"/>
      <family val="3"/>
    </font>
    <font>
      <sz val="9"/>
      <name val="Scandinavian"/>
      <family val="3"/>
    </font>
    <font>
      <b/>
      <sz val="9"/>
      <name val="Scandinavian"/>
      <family val="3"/>
    </font>
    <font>
      <sz val="9"/>
      <color theme="0"/>
      <name val="Scandinavian"/>
      <family val="3"/>
    </font>
    <font>
      <sz val="9"/>
      <color indexed="8"/>
      <name val="Scandinavian"/>
      <family val="3"/>
    </font>
    <font>
      <sz val="9"/>
      <color theme="1"/>
      <name val="Scandinavian"/>
      <family val="3"/>
    </font>
    <font>
      <b/>
      <sz val="9"/>
      <color theme="1"/>
      <name val="Scandinavian"/>
      <family val="3"/>
    </font>
    <font>
      <sz val="12"/>
      <name val="Scandinavian"/>
      <family val="3"/>
    </font>
    <font>
      <sz val="10"/>
      <name val="Scandinavian"/>
      <family val="3"/>
    </font>
    <font>
      <sz val="12"/>
      <name val="Arial"/>
      <family val="2"/>
    </font>
    <font>
      <sz val="12"/>
      <name val="Arial"/>
      <family val="2"/>
    </font>
    <font>
      <b/>
      <i/>
      <sz val="16"/>
      <name val="Helv"/>
    </font>
    <font>
      <sz val="10"/>
      <name val="Scandinavian"/>
      <family val="2"/>
    </font>
    <font>
      <sz val="10"/>
      <name val="Arial"/>
      <family val="2"/>
    </font>
    <font>
      <sz val="12"/>
      <name val="Arial"/>
      <family val="2"/>
    </font>
    <font>
      <sz val="11"/>
      <color rgb="FF000000"/>
      <name val="Calibri"/>
      <family val="2"/>
      <scheme val="minor"/>
    </font>
    <font>
      <sz val="14"/>
      <color rgb="FF000000"/>
      <name val="Calibri"/>
      <family val="2"/>
      <scheme val="minor"/>
    </font>
    <font>
      <sz val="9"/>
      <name val="Scandinavian"/>
      <family val="2"/>
    </font>
    <font>
      <sz val="10"/>
      <name val="Arial"/>
    </font>
    <font>
      <sz val="10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46">
    <xf numFmtId="0" fontId="0" fillId="0" borderId="0"/>
    <xf numFmtId="0" fontId="10" fillId="0" borderId="0"/>
    <xf numFmtId="43" fontId="11" fillId="0" borderId="0" applyFont="0" applyFill="0" applyBorder="0" applyAlignment="0" applyProtection="0"/>
    <xf numFmtId="164" fontId="12" fillId="0" borderId="0"/>
    <xf numFmtId="9" fontId="11" fillId="0" borderId="0" applyFont="0" applyFill="0" applyBorder="0" applyAlignment="0" applyProtection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9" fontId="14" fillId="0" borderId="0" applyFont="0" applyFill="0" applyBorder="0" applyAlignment="0" applyProtection="0"/>
    <xf numFmtId="4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" fillId="0" borderId="0"/>
    <xf numFmtId="44" fontId="14" fillId="0" borderId="0" applyFont="0" applyFill="0" applyBorder="0" applyAlignment="0" applyProtection="0"/>
    <xf numFmtId="0" fontId="13" fillId="0" borderId="0"/>
    <xf numFmtId="44" fontId="13" fillId="0" borderId="0" applyFont="0" applyFill="0" applyBorder="0" applyAlignment="0" applyProtection="0"/>
    <xf numFmtId="0" fontId="15" fillId="0" borderId="0"/>
    <xf numFmtId="43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9" fillId="0" borderId="0"/>
    <xf numFmtId="0" fontId="14" fillId="0" borderId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166" fontId="20" fillId="0" borderId="0"/>
    <xf numFmtId="166" fontId="20" fillId="0" borderId="0"/>
    <xf numFmtId="166" fontId="14" fillId="0" borderId="0"/>
    <xf numFmtId="166" fontId="20" fillId="0" borderId="0"/>
    <xf numFmtId="0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  <xf numFmtId="166" fontId="20" fillId="0" borderId="0"/>
  </cellStyleXfs>
  <cellXfs count="79">
    <xf numFmtId="0" fontId="0" fillId="0" borderId="0" xfId="0"/>
    <xf numFmtId="0" fontId="2" fillId="0" borderId="0" xfId="0" applyFont="1" applyFill="1"/>
    <xf numFmtId="0" fontId="2" fillId="0" borderId="1" xfId="0" applyFont="1" applyFill="1" applyBorder="1" applyAlignment="1">
      <alignment horizontal="right"/>
    </xf>
    <xf numFmtId="3" fontId="2" fillId="0" borderId="0" xfId="0" applyNumberFormat="1" applyFont="1" applyFill="1"/>
    <xf numFmtId="3" fontId="2" fillId="0" borderId="1" xfId="0" applyNumberFormat="1" applyFont="1" applyFill="1" applyBorder="1"/>
    <xf numFmtId="1" fontId="3" fillId="0" borderId="0" xfId="0" applyNumberFormat="1" applyFont="1" applyFill="1" applyBorder="1"/>
    <xf numFmtId="1" fontId="2" fillId="0" borderId="1" xfId="0" applyNumberFormat="1" applyFont="1" applyFill="1" applyBorder="1"/>
    <xf numFmtId="1" fontId="2" fillId="0" borderId="0" xfId="0" applyNumberFormat="1" applyFont="1" applyFill="1" applyBorder="1"/>
    <xf numFmtId="3" fontId="2" fillId="0" borderId="0" xfId="0" quotePrefix="1" applyNumberFormat="1" applyFont="1" applyFill="1" applyBorder="1" applyAlignment="1">
      <alignment horizontal="right"/>
    </xf>
    <xf numFmtId="3" fontId="2" fillId="0" borderId="0" xfId="0" applyNumberFormat="1" applyFont="1" applyFill="1" applyBorder="1" applyAlignment="1">
      <alignment horizontal="right"/>
    </xf>
    <xf numFmtId="3" fontId="2" fillId="0" borderId="1" xfId="0" applyNumberFormat="1" applyFont="1" applyFill="1" applyBorder="1" applyAlignment="1">
      <alignment horizontal="right"/>
    </xf>
    <xf numFmtId="3" fontId="5" fillId="0" borderId="0" xfId="0" applyNumberFormat="1" applyFont="1" applyFill="1"/>
    <xf numFmtId="3" fontId="3" fillId="0" borderId="0" xfId="0" applyNumberFormat="1" applyFont="1" applyFill="1" applyBorder="1" applyAlignment="1">
      <alignment horizontal="right"/>
    </xf>
    <xf numFmtId="3" fontId="3" fillId="0" borderId="0" xfId="0" applyNumberFormat="1" applyFont="1" applyFill="1"/>
    <xf numFmtId="0" fontId="8" fillId="0" borderId="0" xfId="0" applyFont="1" applyFill="1"/>
    <xf numFmtId="0" fontId="2" fillId="0" borderId="0" xfId="0" applyFont="1" applyFill="1" applyBorder="1" applyAlignment="1">
      <alignment horizontal="right"/>
    </xf>
    <xf numFmtId="1" fontId="2" fillId="0" borderId="1" xfId="0" applyNumberFormat="1" applyFont="1" applyFill="1" applyBorder="1" applyAlignment="1">
      <alignment horizontal="right"/>
    </xf>
    <xf numFmtId="3" fontId="2" fillId="0" borderId="0" xfId="0" applyNumberFormat="1" applyFont="1" applyFill="1" applyBorder="1"/>
    <xf numFmtId="0" fontId="9" fillId="0" borderId="0" xfId="0" applyFont="1" applyFill="1"/>
    <xf numFmtId="0" fontId="6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/>
    <xf numFmtId="3" fontId="2" fillId="0" borderId="0" xfId="20" applyNumberFormat="1" applyFont="1" applyFill="1"/>
    <xf numFmtId="3" fontId="3" fillId="0" borderId="2" xfId="0" applyNumberFormat="1" applyFont="1" applyFill="1" applyBorder="1"/>
    <xf numFmtId="0" fontId="2" fillId="0" borderId="0" xfId="0" applyFont="1" applyFill="1" applyBorder="1"/>
    <xf numFmtId="0" fontId="3" fillId="0" borderId="2" xfId="0" applyFont="1" applyFill="1" applyBorder="1"/>
    <xf numFmtId="3" fontId="6" fillId="0" borderId="0" xfId="0" applyNumberFormat="1" applyFont="1" applyFill="1"/>
    <xf numFmtId="0" fontId="0" fillId="0" borderId="0" xfId="0" applyFill="1"/>
    <xf numFmtId="3" fontId="0" fillId="0" borderId="0" xfId="0" applyNumberFormat="1" applyFill="1"/>
    <xf numFmtId="3" fontId="2" fillId="0" borderId="1" xfId="20" applyNumberFormat="1" applyFont="1" applyFill="1" applyBorder="1"/>
    <xf numFmtId="0" fontId="3" fillId="0" borderId="0" xfId="0" applyFont="1" applyFill="1"/>
    <xf numFmtId="1" fontId="3" fillId="0" borderId="0" xfId="0" applyNumberFormat="1" applyFont="1" applyFill="1"/>
    <xf numFmtId="0" fontId="1" fillId="0" borderId="0" xfId="0" applyFont="1" applyFill="1"/>
    <xf numFmtId="0" fontId="2" fillId="0" borderId="1" xfId="0" applyFont="1" applyFill="1" applyBorder="1"/>
    <xf numFmtId="1" fontId="2" fillId="0" borderId="0" xfId="0" applyNumberFormat="1" applyFont="1" applyFill="1"/>
    <xf numFmtId="3" fontId="3" fillId="0" borderId="0" xfId="0" applyNumberFormat="1" applyFont="1" applyFill="1" applyAlignment="1">
      <alignment horizontal="left"/>
    </xf>
    <xf numFmtId="3" fontId="2" fillId="0" borderId="1" xfId="0" applyNumberFormat="1" applyFont="1" applyFill="1" applyBorder="1" applyAlignment="1">
      <alignment horizontal="left"/>
    </xf>
    <xf numFmtId="3" fontId="4" fillId="0" borderId="0" xfId="0" applyNumberFormat="1" applyFont="1" applyFill="1" applyBorder="1" applyAlignment="1">
      <alignment horizontal="left"/>
    </xf>
    <xf numFmtId="3" fontId="2" fillId="0" borderId="0" xfId="0" applyNumberFormat="1" applyFont="1" applyFill="1" applyBorder="1" applyAlignment="1">
      <alignment horizontal="left"/>
    </xf>
    <xf numFmtId="3" fontId="3" fillId="0" borderId="0" xfId="0" applyNumberFormat="1" applyFont="1" applyFill="1" applyBorder="1" applyAlignment="1">
      <alignment horizontal="left"/>
    </xf>
    <xf numFmtId="4" fontId="2" fillId="0" borderId="0" xfId="0" applyNumberFormat="1" applyFont="1" applyFill="1" applyAlignment="1">
      <alignment horizontal="right"/>
    </xf>
    <xf numFmtId="0" fontId="7" fillId="0" borderId="0" xfId="0" applyFont="1" applyFill="1"/>
    <xf numFmtId="0" fontId="6" fillId="0" borderId="1" xfId="0" applyFont="1" applyFill="1" applyBorder="1"/>
    <xf numFmtId="3" fontId="2" fillId="0" borderId="0" xfId="20" applyNumberFormat="1" applyFont="1" applyFill="1" applyBorder="1"/>
    <xf numFmtId="0" fontId="16" fillId="0" borderId="0" xfId="0" applyFont="1"/>
    <xf numFmtId="0" fontId="16" fillId="0" borderId="0" xfId="0" applyFont="1" applyAlignment="1">
      <alignment horizontal="right"/>
    </xf>
    <xf numFmtId="0" fontId="17" fillId="0" borderId="1" xfId="0" applyFont="1" applyBorder="1"/>
    <xf numFmtId="0" fontId="3" fillId="0" borderId="1" xfId="0" applyFont="1" applyBorder="1" applyAlignment="1">
      <alignment horizontal="right"/>
    </xf>
    <xf numFmtId="0" fontId="17" fillId="0" borderId="0" xfId="0" applyFont="1"/>
    <xf numFmtId="0" fontId="17" fillId="0" borderId="0" xfId="0" applyFont="1" applyAlignment="1">
      <alignment horizontal="right"/>
    </xf>
    <xf numFmtId="0" fontId="3" fillId="0" borderId="0" xfId="0" applyFont="1"/>
    <xf numFmtId="0" fontId="3" fillId="0" borderId="0" xfId="0" applyFont="1" applyAlignment="1">
      <alignment horizontal="right"/>
    </xf>
    <xf numFmtId="0" fontId="3" fillId="0" borderId="3" xfId="0" applyFont="1" applyBorder="1"/>
    <xf numFmtId="0" fontId="18" fillId="0" borderId="0" xfId="0" applyFont="1"/>
    <xf numFmtId="0" fontId="18" fillId="0" borderId="0" xfId="0" applyFont="1" applyAlignment="1">
      <alignment horizontal="right"/>
    </xf>
    <xf numFmtId="0" fontId="2" fillId="0" borderId="4" xfId="0" applyFont="1" applyBorder="1"/>
    <xf numFmtId="3" fontId="16" fillId="0" borderId="0" xfId="0" applyNumberFormat="1" applyFont="1"/>
    <xf numFmtId="3" fontId="16" fillId="0" borderId="0" xfId="0" applyNumberFormat="1" applyFont="1" applyAlignment="1">
      <alignment horizontal="right"/>
    </xf>
    <xf numFmtId="0" fontId="2" fillId="0" borderId="3" xfId="0" applyFont="1" applyBorder="1"/>
    <xf numFmtId="0" fontId="16" fillId="0" borderId="1" xfId="0" applyFont="1" applyBorder="1"/>
    <xf numFmtId="0" fontId="16" fillId="0" borderId="1" xfId="0" applyFont="1" applyBorder="1" applyAlignment="1">
      <alignment horizontal="right"/>
    </xf>
    <xf numFmtId="3" fontId="16" fillId="0" borderId="1" xfId="0" applyNumberFormat="1" applyFont="1" applyBorder="1" applyAlignment="1">
      <alignment horizontal="right"/>
    </xf>
    <xf numFmtId="3" fontId="16" fillId="0" borderId="1" xfId="0" applyNumberFormat="1" applyFont="1" applyBorder="1"/>
    <xf numFmtId="0" fontId="3" fillId="0" borderId="4" xfId="0" applyFont="1" applyBorder="1"/>
    <xf numFmtId="0" fontId="16" fillId="0" borderId="4" xfId="0" applyFont="1" applyBorder="1"/>
    <xf numFmtId="0" fontId="18" fillId="0" borderId="1" xfId="0" applyFont="1" applyBorder="1"/>
    <xf numFmtId="0" fontId="2" fillId="0" borderId="1" xfId="0" applyFont="1" applyBorder="1" applyAlignment="1">
      <alignment horizontal="right"/>
    </xf>
    <xf numFmtId="0" fontId="18" fillId="0" borderId="4" xfId="0" applyFont="1" applyBorder="1"/>
    <xf numFmtId="0" fontId="18" fillId="0" borderId="2" xfId="0" applyFont="1" applyBorder="1"/>
    <xf numFmtId="2" fontId="16" fillId="0" borderId="0" xfId="0" applyNumberFormat="1" applyFont="1"/>
    <xf numFmtId="0" fontId="16" fillId="0" borderId="0" xfId="0" applyFont="1"/>
    <xf numFmtId="0" fontId="16" fillId="0" borderId="0" xfId="0" applyFont="1" applyFill="1"/>
    <xf numFmtId="2" fontId="16" fillId="0" borderId="1" xfId="0" applyNumberFormat="1" applyFont="1" applyBorder="1"/>
    <xf numFmtId="0" fontId="16" fillId="0" borderId="0" xfId="0" applyFont="1"/>
    <xf numFmtId="0" fontId="18" fillId="0" borderId="0" xfId="0" applyFont="1" applyFill="1"/>
    <xf numFmtId="0" fontId="16" fillId="0" borderId="0" xfId="0" applyFont="1" applyFill="1" applyAlignment="1">
      <alignment horizontal="right"/>
    </xf>
    <xf numFmtId="0" fontId="16" fillId="0" borderId="1" xfId="0" applyFont="1" applyFill="1" applyBorder="1"/>
    <xf numFmtId="0" fontId="16" fillId="0" borderId="1" xfId="0" applyFont="1" applyFill="1" applyBorder="1" applyAlignment="1">
      <alignment horizontal="right"/>
    </xf>
    <xf numFmtId="3" fontId="16" fillId="0" borderId="0" xfId="0" applyNumberFormat="1" applyFont="1" applyFill="1"/>
  </cellXfs>
  <cellStyles count="46">
    <cellStyle name="Comma 2" xfId="2" xr:uid="{00000000-0005-0000-0000-00002F000000}"/>
    <cellStyle name="Comma 2 2" xfId="32" xr:uid="{8FAC9682-470E-4C88-9072-3F96FDB67EC4}"/>
    <cellStyle name="Comma 3" xfId="21" xr:uid="{FE42310E-A923-40B2-BA7B-933D7D3E4A9F}"/>
    <cellStyle name="Currency 2" xfId="15" xr:uid="{853C6178-AE51-4D14-A92E-D127EF40A5C3}"/>
    <cellStyle name="Currency 2 2" xfId="19" xr:uid="{00000000-0005-0000-0000-00002F000000}"/>
    <cellStyle name="Currency 3" xfId="17" xr:uid="{00000000-0005-0000-0000-000030000000}"/>
    <cellStyle name="Currency 4" xfId="14" xr:uid="{00000000-0005-0000-0000-00003A000000}"/>
    <cellStyle name="Normal" xfId="0" builtinId="0"/>
    <cellStyle name="Normal - Style1" xfId="3" xr:uid="{00000000-0005-0000-0000-000002000000}"/>
    <cellStyle name="Normal 10" xfId="12" xr:uid="{00000000-0005-0000-0000-00003E000000}"/>
    <cellStyle name="Normal 10 2" xfId="42" xr:uid="{D60177A3-8FE0-4C04-BD57-6F9693DEA70C}"/>
    <cellStyle name="Normal 11" xfId="20" xr:uid="{57378203-F948-4348-B32F-98A49FAC237D}"/>
    <cellStyle name="Normal 11 2" xfId="43" xr:uid="{541CC37D-8250-4C12-813E-1BA81AC364D4}"/>
    <cellStyle name="Normal 12" xfId="44" xr:uid="{5EEC23C7-36D4-4D03-9752-D2F9658E7514}"/>
    <cellStyle name="Normal 13" xfId="45" xr:uid="{63485670-A6A1-41CE-81F6-3489341BCB43}"/>
    <cellStyle name="Normal 14" xfId="30" xr:uid="{C43EE5C4-80AF-49C8-8710-28B0BDC36010}"/>
    <cellStyle name="Normal 2" xfId="5" xr:uid="{00000000-0005-0000-0000-000030000000}"/>
    <cellStyle name="Normal 2 2" xfId="18" xr:uid="{00000000-0005-0000-0000-000030000000}"/>
    <cellStyle name="Normal 2 2 2" xfId="36" xr:uid="{14E2D571-4987-4984-BA90-F690F00BB3CB}"/>
    <cellStyle name="Normal 2 3" xfId="23" xr:uid="{584271E4-B889-470A-9A84-67B547297B87}"/>
    <cellStyle name="Normal 2 4" xfId="31" xr:uid="{92C9BC28-9E43-4EC0-94EE-603622756DC8}"/>
    <cellStyle name="Normal 3" xfId="6" xr:uid="{00000000-0005-0000-0000-000031000000}"/>
    <cellStyle name="Normal 3 2" xfId="16" xr:uid="{00000000-0005-0000-0000-000032000000}"/>
    <cellStyle name="Normal 3 3" xfId="24" xr:uid="{0F30CC11-CCE9-4EA0-A95A-033810CFCEE9}"/>
    <cellStyle name="Normal 3 4" xfId="38" xr:uid="{E6BD0D43-2B6A-44E9-93DF-D0A5AD35E055}"/>
    <cellStyle name="Normal 4" xfId="7" xr:uid="{00000000-0005-0000-0000-000032000000}"/>
    <cellStyle name="Normal 4 2" xfId="25" xr:uid="{2D6D3E90-BF67-43B1-A890-3CCE415E0D2C}"/>
    <cellStyle name="Normal 4 3" xfId="34" xr:uid="{16C397A4-A87C-4118-8C83-A1BC7F9CFFF4}"/>
    <cellStyle name="Normal 5" xfId="8" xr:uid="{00000000-0005-0000-0000-000033000000}"/>
    <cellStyle name="Normal 5 2" xfId="26" xr:uid="{FF8204A8-CA8A-425A-9992-2A45158EE745}"/>
    <cellStyle name="Normal 5 3" xfId="37" xr:uid="{ECBA5A22-0E72-45DA-BB0F-037A33927122}"/>
    <cellStyle name="Normal 6" xfId="9" xr:uid="{00000000-0005-0000-0000-000034000000}"/>
    <cellStyle name="Normal 6 2" xfId="27" xr:uid="{C2FD16AC-6F13-460E-B5C0-28113B5E6177}"/>
    <cellStyle name="Normal 6 3" xfId="39" xr:uid="{06CF1118-5E36-4FA7-A2BB-DC14F84375EB}"/>
    <cellStyle name="Normal 7" xfId="10" xr:uid="{00000000-0005-0000-0000-000035000000}"/>
    <cellStyle name="Normal 7 2" xfId="28" xr:uid="{313A390E-9068-421B-8BC5-A7263639C29F}"/>
    <cellStyle name="Normal 7 3" xfId="35" xr:uid="{3BAA4196-FA4C-4C49-9892-6EA57002EAA8}"/>
    <cellStyle name="Normal 8" xfId="11" xr:uid="{00000000-0005-0000-0000-000036000000}"/>
    <cellStyle name="Normal 8 2" xfId="29" xr:uid="{E39AC3D6-C358-4CA7-AB21-F27E265E7800}"/>
    <cellStyle name="Normal 8 3" xfId="40" xr:uid="{506540FB-37CC-4FDE-BF23-6BE51AB388E2}"/>
    <cellStyle name="Normal 9" xfId="1" xr:uid="{00000000-0005-0000-0000-000030000000}"/>
    <cellStyle name="Normal 9 2" xfId="41" xr:uid="{79BFED05-76E4-4646-9502-D21B78448B1B}"/>
    <cellStyle name="Percent 2" xfId="4" xr:uid="{00000000-0005-0000-0000-000039000000}"/>
    <cellStyle name="Percent 2 2" xfId="33" xr:uid="{4128574B-FF3D-485F-9175-B617B666EC9D}"/>
    <cellStyle name="Percent 3" xfId="13" xr:uid="{00000000-0005-0000-0000-000041000000}"/>
    <cellStyle name="Percent 4" xfId="22" xr:uid="{76D00E65-1FDF-4BFF-AF20-B3FAB3C32CF1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13" Type="http://schemas.openxmlformats.org/officeDocument/2006/relationships/customXml" Target="../customXml/item5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2"/>
  <sheetViews>
    <sheetView zoomScale="120" zoomScaleNormal="120" workbookViewId="0">
      <pane xSplit="1" ySplit="6" topLeftCell="B7" activePane="bottomRight" state="frozen"/>
      <selection activeCell="G22" sqref="G22"/>
      <selection pane="topRight" activeCell="G22" sqref="G22"/>
      <selection pane="bottomLeft" activeCell="G22" sqref="G22"/>
      <selection pane="bottomRight" activeCell="B101" sqref="B101"/>
    </sheetView>
  </sheetViews>
  <sheetFormatPr defaultColWidth="11.42578125" defaultRowHeight="15.75" x14ac:dyDescent="0.25"/>
  <cols>
    <col min="1" max="1" width="40.140625" style="18" customWidth="1"/>
    <col min="2" max="2" width="9.5703125" style="14" customWidth="1"/>
    <col min="3" max="7" width="9.85546875" style="14" customWidth="1"/>
    <col min="8" max="9" width="9.5703125" style="14" customWidth="1"/>
    <col min="10" max="10" width="9.85546875" style="14" customWidth="1"/>
    <col min="11" max="11" width="9.5703125" style="14" customWidth="1"/>
    <col min="12" max="16384" width="11.42578125" style="14"/>
  </cols>
  <sheetData>
    <row r="1" spans="1:11" ht="26.25" x14ac:dyDescent="0.4">
      <c r="A1" s="32" t="s">
        <v>0</v>
      </c>
    </row>
    <row r="2" spans="1:11" s="1" customFormat="1" ht="12" x14ac:dyDescent="0.2"/>
    <row r="3" spans="1:11" s="1" customFormat="1" ht="12" x14ac:dyDescent="0.2"/>
    <row r="4" spans="1:11" s="1" customFormat="1" ht="12" x14ac:dyDescent="0.2">
      <c r="A4" s="33"/>
      <c r="B4" s="2" t="s">
        <v>88</v>
      </c>
      <c r="C4" s="2">
        <v>2020</v>
      </c>
      <c r="D4" s="2">
        <v>2020</v>
      </c>
      <c r="E4" s="2">
        <v>2020</v>
      </c>
      <c r="F4" s="2" t="s">
        <v>88</v>
      </c>
      <c r="G4" s="2" t="s">
        <v>108</v>
      </c>
      <c r="H4" s="2">
        <v>2021</v>
      </c>
      <c r="I4" s="2">
        <v>2021</v>
      </c>
      <c r="J4" s="2">
        <v>2021</v>
      </c>
      <c r="K4" s="2" t="s">
        <v>108</v>
      </c>
    </row>
    <row r="5" spans="1:11" s="1" customFormat="1" ht="12" x14ac:dyDescent="0.2">
      <c r="A5" s="30" t="s">
        <v>1</v>
      </c>
      <c r="B5" s="15" t="s">
        <v>4</v>
      </c>
      <c r="C5" s="15" t="s">
        <v>5</v>
      </c>
      <c r="D5" s="15" t="s">
        <v>2</v>
      </c>
      <c r="E5" s="15" t="s">
        <v>3</v>
      </c>
      <c r="F5" s="15" t="s">
        <v>4</v>
      </c>
      <c r="G5" s="15" t="s">
        <v>4</v>
      </c>
      <c r="H5" s="15" t="s">
        <v>5</v>
      </c>
      <c r="I5" s="15" t="s">
        <v>2</v>
      </c>
      <c r="J5" s="15" t="s">
        <v>3</v>
      </c>
      <c r="K5" s="15" t="s">
        <v>4</v>
      </c>
    </row>
    <row r="6" spans="1:11" s="1" customFormat="1" ht="12" x14ac:dyDescent="0.2">
      <c r="A6" s="33" t="s">
        <v>6</v>
      </c>
      <c r="B6" s="16" t="s">
        <v>9</v>
      </c>
      <c r="C6" s="16" t="s">
        <v>10</v>
      </c>
      <c r="D6" s="16" t="s">
        <v>7</v>
      </c>
      <c r="E6" s="16" t="s">
        <v>8</v>
      </c>
      <c r="F6" s="16" t="s">
        <v>8</v>
      </c>
      <c r="G6" s="16" t="s">
        <v>9</v>
      </c>
      <c r="H6" s="16" t="s">
        <v>10</v>
      </c>
      <c r="I6" s="16" t="s">
        <v>7</v>
      </c>
      <c r="J6" s="16" t="s">
        <v>8</v>
      </c>
      <c r="K6" s="16" t="s">
        <v>8</v>
      </c>
    </row>
    <row r="7" spans="1:11" s="1" customFormat="1" ht="12" x14ac:dyDescent="0.2">
      <c r="A7" s="34" t="s">
        <v>11</v>
      </c>
      <c r="B7" s="3">
        <v>7315</v>
      </c>
      <c r="C7" s="3">
        <v>3462</v>
      </c>
      <c r="D7" s="3">
        <v>1353</v>
      </c>
      <c r="E7" s="3">
        <v>1813</v>
      </c>
      <c r="F7" s="3">
        <v>13943</v>
      </c>
      <c r="G7" s="3">
        <v>1097</v>
      </c>
      <c r="H7" s="3">
        <v>950</v>
      </c>
      <c r="I7" s="3">
        <v>2357</v>
      </c>
      <c r="J7" s="3">
        <v>3997</v>
      </c>
      <c r="K7" s="3">
        <v>8401</v>
      </c>
    </row>
    <row r="8" spans="1:11" s="1" customFormat="1" ht="12" x14ac:dyDescent="0.2">
      <c r="A8" s="34" t="s">
        <v>12</v>
      </c>
      <c r="B8" s="3">
        <v>245</v>
      </c>
      <c r="C8" s="3">
        <v>201</v>
      </c>
      <c r="D8" s="3">
        <v>30</v>
      </c>
      <c r="E8" s="3">
        <v>88</v>
      </c>
      <c r="F8" s="3">
        <v>564</v>
      </c>
      <c r="G8" s="3">
        <v>9</v>
      </c>
      <c r="H8" s="3">
        <v>3</v>
      </c>
      <c r="I8" s="3">
        <v>105</v>
      </c>
      <c r="J8" s="3">
        <v>267</v>
      </c>
      <c r="K8" s="3">
        <v>384</v>
      </c>
    </row>
    <row r="9" spans="1:11" s="1" customFormat="1" ht="12" x14ac:dyDescent="0.2">
      <c r="A9" s="34" t="s">
        <v>109</v>
      </c>
      <c r="B9" s="3">
        <v>366</v>
      </c>
      <c r="C9" s="3">
        <v>160</v>
      </c>
      <c r="D9" s="3">
        <v>188</v>
      </c>
      <c r="E9" s="3">
        <v>163</v>
      </c>
      <c r="F9" s="3">
        <v>877</v>
      </c>
      <c r="G9" s="3">
        <v>231</v>
      </c>
      <c r="H9" s="3">
        <v>282</v>
      </c>
      <c r="I9" s="3">
        <v>303</v>
      </c>
      <c r="J9" s="3">
        <v>350</v>
      </c>
      <c r="K9" s="3">
        <v>1166</v>
      </c>
    </row>
    <row r="10" spans="1:11" s="1" customFormat="1" ht="12" x14ac:dyDescent="0.2">
      <c r="A10" s="34" t="s">
        <v>13</v>
      </c>
      <c r="B10" s="3">
        <v>671</v>
      </c>
      <c r="C10" s="3">
        <v>553</v>
      </c>
      <c r="D10" s="3">
        <v>228</v>
      </c>
      <c r="E10" s="3">
        <v>366</v>
      </c>
      <c r="F10" s="3">
        <v>1818</v>
      </c>
      <c r="G10" s="3">
        <v>400</v>
      </c>
      <c r="H10" s="3">
        <v>229</v>
      </c>
      <c r="I10" s="3">
        <v>487</v>
      </c>
      <c r="J10" s="3">
        <v>497</v>
      </c>
      <c r="K10" s="3">
        <v>1613</v>
      </c>
    </row>
    <row r="11" spans="1:11" s="1" customFormat="1" ht="12" x14ac:dyDescent="0.2">
      <c r="A11" s="6" t="s">
        <v>14</v>
      </c>
      <c r="B11" s="4">
        <v>1110</v>
      </c>
      <c r="C11" s="4">
        <v>888</v>
      </c>
      <c r="D11" s="4">
        <v>708</v>
      </c>
      <c r="E11" s="4">
        <v>605</v>
      </c>
      <c r="F11" s="4">
        <v>3311</v>
      </c>
      <c r="G11" s="4">
        <v>545</v>
      </c>
      <c r="H11" s="4">
        <v>468</v>
      </c>
      <c r="I11" s="4">
        <v>730</v>
      </c>
      <c r="J11" s="4">
        <v>651</v>
      </c>
      <c r="K11" s="4">
        <v>2394</v>
      </c>
    </row>
    <row r="12" spans="1:11" s="30" customFormat="1" ht="12" x14ac:dyDescent="0.2">
      <c r="A12" s="31" t="s">
        <v>15</v>
      </c>
      <c r="B12" s="13">
        <v>9707</v>
      </c>
      <c r="C12" s="13">
        <v>5264</v>
      </c>
      <c r="D12" s="13">
        <f t="shared" ref="D12:I12" si="0">SUM(D7:D11)</f>
        <v>2507</v>
      </c>
      <c r="E12" s="13">
        <f t="shared" si="0"/>
        <v>3035</v>
      </c>
      <c r="F12" s="13">
        <f t="shared" si="0"/>
        <v>20513</v>
      </c>
      <c r="G12" s="13">
        <f t="shared" si="0"/>
        <v>2282</v>
      </c>
      <c r="H12" s="13">
        <f t="shared" si="0"/>
        <v>1932</v>
      </c>
      <c r="I12" s="13">
        <f t="shared" si="0"/>
        <v>3982</v>
      </c>
      <c r="J12" s="13">
        <f t="shared" ref="J12" si="1">SUM(J7:J11)</f>
        <v>5762</v>
      </c>
      <c r="K12" s="13">
        <f t="shared" ref="K12" si="2">SUM(K7:K11)</f>
        <v>13958</v>
      </c>
    </row>
    <row r="13" spans="1:11" s="1" customFormat="1" ht="12" x14ac:dyDescent="0.2">
      <c r="A13" s="34"/>
      <c r="B13" s="3"/>
      <c r="C13" s="3"/>
      <c r="D13" s="3"/>
      <c r="E13" s="3"/>
      <c r="F13" s="3"/>
      <c r="G13" s="3"/>
      <c r="H13" s="3"/>
      <c r="I13" s="3"/>
      <c r="J13" s="3"/>
      <c r="K13" s="3"/>
    </row>
    <row r="14" spans="1:11" s="1" customFormat="1" ht="12" x14ac:dyDescent="0.2">
      <c r="A14" s="34" t="s">
        <v>89</v>
      </c>
      <c r="B14" s="22">
        <v>-2575</v>
      </c>
      <c r="C14" s="22">
        <v>-1995</v>
      </c>
      <c r="D14" s="22">
        <v>-1664</v>
      </c>
      <c r="E14" s="22">
        <v>-1735</v>
      </c>
      <c r="F14" s="22">
        <v>-7969</v>
      </c>
      <c r="G14" s="22">
        <v>-1428</v>
      </c>
      <c r="H14" s="22">
        <v>-1288</v>
      </c>
      <c r="I14" s="22">
        <v>-1350</v>
      </c>
      <c r="J14" s="22">
        <v>-1438</v>
      </c>
      <c r="K14" s="22">
        <v>-5504</v>
      </c>
    </row>
    <row r="15" spans="1:11" s="1" customFormat="1" ht="12" x14ac:dyDescent="0.2">
      <c r="A15" s="34" t="s">
        <v>94</v>
      </c>
      <c r="B15" s="22">
        <v>-711</v>
      </c>
      <c r="C15" s="22">
        <v>-377</v>
      </c>
      <c r="D15" s="22">
        <v>-101</v>
      </c>
      <c r="E15" s="22">
        <v>-163</v>
      </c>
      <c r="F15" s="22">
        <v>-1352</v>
      </c>
      <c r="G15" s="22">
        <v>-118</v>
      </c>
      <c r="H15" s="22">
        <v>-145</v>
      </c>
      <c r="I15" s="22">
        <v>-217</v>
      </c>
      <c r="J15" s="22">
        <v>-288</v>
      </c>
      <c r="K15" s="22">
        <v>-768</v>
      </c>
    </row>
    <row r="16" spans="1:11" s="1" customFormat="1" ht="12" x14ac:dyDescent="0.2">
      <c r="A16" s="34" t="s">
        <v>95</v>
      </c>
      <c r="B16" s="22">
        <v>-2020</v>
      </c>
      <c r="C16" s="22">
        <v>-2504</v>
      </c>
      <c r="D16" s="22">
        <v>-331</v>
      </c>
      <c r="E16" s="22">
        <v>-771</v>
      </c>
      <c r="F16" s="22">
        <v>-5626</v>
      </c>
      <c r="G16" s="22">
        <v>-428</v>
      </c>
      <c r="H16" s="22">
        <v>-291</v>
      </c>
      <c r="I16" s="22">
        <v>-618</v>
      </c>
      <c r="J16" s="22">
        <v>-1033</v>
      </c>
      <c r="K16" s="22">
        <v>-2370</v>
      </c>
    </row>
    <row r="17" spans="1:11" s="1" customFormat="1" ht="12" x14ac:dyDescent="0.2">
      <c r="A17" s="34" t="s">
        <v>106</v>
      </c>
      <c r="B17" s="22">
        <v>-917</v>
      </c>
      <c r="C17" s="22">
        <v>-523</v>
      </c>
      <c r="D17" s="22">
        <v>-162</v>
      </c>
      <c r="E17" s="22">
        <v>-270</v>
      </c>
      <c r="F17" s="22">
        <v>-1872</v>
      </c>
      <c r="G17" s="22">
        <v>-222</v>
      </c>
      <c r="H17" s="22">
        <v>-203</v>
      </c>
      <c r="I17" s="22">
        <v>-368</v>
      </c>
      <c r="J17" s="22">
        <v>-549</v>
      </c>
      <c r="K17" s="22">
        <v>-1342</v>
      </c>
    </row>
    <row r="18" spans="1:11" s="1" customFormat="1" ht="12" x14ac:dyDescent="0.2">
      <c r="A18" s="34" t="s">
        <v>16</v>
      </c>
      <c r="B18" s="22">
        <v>-269</v>
      </c>
      <c r="C18" s="22">
        <v>-169</v>
      </c>
      <c r="D18" s="22">
        <v>-47</v>
      </c>
      <c r="E18" s="22">
        <v>-87</v>
      </c>
      <c r="F18" s="22">
        <v>-572</v>
      </c>
      <c r="G18" s="22">
        <v>-64</v>
      </c>
      <c r="H18" s="22">
        <v>-68</v>
      </c>
      <c r="I18" s="22">
        <v>-98</v>
      </c>
      <c r="J18" s="22">
        <v>-143</v>
      </c>
      <c r="K18" s="22">
        <v>-373</v>
      </c>
    </row>
    <row r="19" spans="1:11" s="1" customFormat="1" ht="12" x14ac:dyDescent="0.2">
      <c r="A19" s="34" t="s">
        <v>17</v>
      </c>
      <c r="B19" s="22">
        <v>-680</v>
      </c>
      <c r="C19" s="22">
        <v>-387</v>
      </c>
      <c r="D19" s="22">
        <v>-126</v>
      </c>
      <c r="E19" s="22">
        <v>-212</v>
      </c>
      <c r="F19" s="22">
        <v>-1405</v>
      </c>
      <c r="G19" s="22">
        <v>-216</v>
      </c>
      <c r="H19" s="22">
        <v>-165</v>
      </c>
      <c r="I19" s="22">
        <v>-223</v>
      </c>
      <c r="J19" s="22">
        <v>-359</v>
      </c>
      <c r="K19" s="22">
        <v>-963</v>
      </c>
    </row>
    <row r="20" spans="1:11" s="1" customFormat="1" ht="12" x14ac:dyDescent="0.2">
      <c r="A20" s="34" t="s">
        <v>18</v>
      </c>
      <c r="B20" s="22">
        <v>-560</v>
      </c>
      <c r="C20" s="22">
        <v>-590</v>
      </c>
      <c r="D20" s="22">
        <v>-275</v>
      </c>
      <c r="E20" s="22">
        <v>-440</v>
      </c>
      <c r="F20" s="22">
        <v>-1865</v>
      </c>
      <c r="G20" s="22">
        <v>-263</v>
      </c>
      <c r="H20" s="22">
        <v>-359</v>
      </c>
      <c r="I20" s="22">
        <v>-336</v>
      </c>
      <c r="J20" s="22">
        <v>-501</v>
      </c>
      <c r="K20" s="22">
        <v>-1459</v>
      </c>
    </row>
    <row r="21" spans="1:11" s="1" customFormat="1" ht="12" x14ac:dyDescent="0.2">
      <c r="A21" s="34" t="s">
        <v>93</v>
      </c>
      <c r="B21" s="22">
        <v>-411</v>
      </c>
      <c r="C21" s="22">
        <f>-344-25</f>
        <v>-369</v>
      </c>
      <c r="D21" s="22">
        <f>-202-4</f>
        <v>-206</v>
      </c>
      <c r="E21" s="22">
        <f>-211-13</f>
        <v>-224</v>
      </c>
      <c r="F21" s="22">
        <f>SUM(B21:E21)</f>
        <v>-1210</v>
      </c>
      <c r="G21" s="22">
        <f>-218-9</f>
        <v>-227</v>
      </c>
      <c r="H21" s="22">
        <v>-214</v>
      </c>
      <c r="I21" s="22">
        <f>-233-6</f>
        <v>-239</v>
      </c>
      <c r="J21" s="22">
        <v>-296</v>
      </c>
      <c r="K21" s="22">
        <v>-976</v>
      </c>
    </row>
    <row r="22" spans="1:11" s="1" customFormat="1" ht="12" x14ac:dyDescent="0.2">
      <c r="A22" s="34" t="s">
        <v>19</v>
      </c>
      <c r="B22" s="22">
        <v>-377</v>
      </c>
      <c r="C22" s="22">
        <v>-307</v>
      </c>
      <c r="D22" s="22">
        <v>-81</v>
      </c>
      <c r="E22" s="22">
        <v>-147</v>
      </c>
      <c r="F22" s="22">
        <v>-912</v>
      </c>
      <c r="G22" s="22">
        <v>-109</v>
      </c>
      <c r="H22" s="22">
        <v>-98</v>
      </c>
      <c r="I22" s="22">
        <v>-126</v>
      </c>
      <c r="J22" s="22">
        <v>-248</v>
      </c>
      <c r="K22" s="22">
        <v>-581</v>
      </c>
    </row>
    <row r="23" spans="1:11" s="1" customFormat="1" ht="12" x14ac:dyDescent="0.2">
      <c r="A23" s="6" t="s">
        <v>20</v>
      </c>
      <c r="B23" s="29">
        <f>-548</f>
        <v>-548</v>
      </c>
      <c r="C23" s="29">
        <f>42</f>
        <v>42</v>
      </c>
      <c r="D23" s="29">
        <f>201</f>
        <v>201</v>
      </c>
      <c r="E23" s="29">
        <f>-161</f>
        <v>-161</v>
      </c>
      <c r="F23" s="29">
        <f>SUM(B23:E23)</f>
        <v>-466</v>
      </c>
      <c r="G23" s="29">
        <f>-134</f>
        <v>-134</v>
      </c>
      <c r="H23" s="29">
        <v>51</v>
      </c>
      <c r="I23" s="29">
        <f>25</f>
        <v>25</v>
      </c>
      <c r="J23" s="29">
        <v>-134</v>
      </c>
      <c r="K23" s="29">
        <v>-192</v>
      </c>
    </row>
    <row r="24" spans="1:11" s="30" customFormat="1" ht="12" x14ac:dyDescent="0.2">
      <c r="A24" s="5" t="s">
        <v>21</v>
      </c>
      <c r="B24" s="13">
        <f t="shared" ref="B24:K24" si="3">SUM(B14:B23)</f>
        <v>-9068</v>
      </c>
      <c r="C24" s="13">
        <f t="shared" si="3"/>
        <v>-7179</v>
      </c>
      <c r="D24" s="13">
        <f t="shared" si="3"/>
        <v>-2792</v>
      </c>
      <c r="E24" s="13">
        <f t="shared" si="3"/>
        <v>-4210</v>
      </c>
      <c r="F24" s="13">
        <f t="shared" si="3"/>
        <v>-23249</v>
      </c>
      <c r="G24" s="13">
        <f t="shared" si="3"/>
        <v>-3209</v>
      </c>
      <c r="H24" s="13">
        <f t="shared" si="3"/>
        <v>-2780</v>
      </c>
      <c r="I24" s="13">
        <f t="shared" si="3"/>
        <v>-3550</v>
      </c>
      <c r="J24" s="13">
        <f t="shared" ref="J24" si="4">SUM(J14:J23)</f>
        <v>-4989</v>
      </c>
      <c r="K24" s="13">
        <f t="shared" si="3"/>
        <v>-14528</v>
      </c>
    </row>
    <row r="25" spans="1:11" s="1" customFormat="1" ht="12" x14ac:dyDescent="0.2">
      <c r="A25" s="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11" s="1" customFormat="1" ht="12" x14ac:dyDescent="0.2">
      <c r="A26" s="5" t="s">
        <v>22</v>
      </c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11" s="30" customFormat="1" ht="12" x14ac:dyDescent="0.2">
      <c r="A27" s="5" t="s">
        <v>23</v>
      </c>
      <c r="B27" s="13">
        <f>B24+B12</f>
        <v>639</v>
      </c>
      <c r="C27" s="13">
        <f t="shared" ref="C27:K27" si="5">C24+C12</f>
        <v>-1915</v>
      </c>
      <c r="D27" s="13">
        <f t="shared" si="5"/>
        <v>-285</v>
      </c>
      <c r="E27" s="13">
        <f t="shared" si="5"/>
        <v>-1175</v>
      </c>
      <c r="F27" s="13">
        <f t="shared" si="5"/>
        <v>-2736</v>
      </c>
      <c r="G27" s="13">
        <f t="shared" si="5"/>
        <v>-927</v>
      </c>
      <c r="H27" s="13">
        <f t="shared" si="5"/>
        <v>-848</v>
      </c>
      <c r="I27" s="13">
        <f t="shared" si="5"/>
        <v>432</v>
      </c>
      <c r="J27" s="13">
        <f t="shared" ref="J27" si="6">J24+J12</f>
        <v>773</v>
      </c>
      <c r="K27" s="13">
        <f t="shared" si="5"/>
        <v>-570</v>
      </c>
    </row>
    <row r="28" spans="1:11" s="1" customFormat="1" ht="12" x14ac:dyDescent="0.2">
      <c r="A28" s="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11" s="1" customFormat="1" ht="12" x14ac:dyDescent="0.2">
      <c r="A29" s="6" t="s">
        <v>24</v>
      </c>
      <c r="B29" s="4">
        <v>-62</v>
      </c>
      <c r="C29" s="4">
        <v>-18</v>
      </c>
      <c r="D29" s="4">
        <v>0</v>
      </c>
      <c r="E29" s="4">
        <v>15</v>
      </c>
      <c r="F29" s="4">
        <v>-65</v>
      </c>
      <c r="G29" s="4">
        <v>28</v>
      </c>
      <c r="H29" s="4">
        <v>-1</v>
      </c>
      <c r="I29" s="4">
        <v>2</v>
      </c>
      <c r="J29" s="4">
        <v>-3</v>
      </c>
      <c r="K29" s="4">
        <v>26</v>
      </c>
    </row>
    <row r="30" spans="1:11" s="30" customFormat="1" ht="12" x14ac:dyDescent="0.2">
      <c r="A30" s="5" t="s">
        <v>25</v>
      </c>
      <c r="B30" s="13">
        <f t="shared" ref="B30:K30" si="7">B29+B27</f>
        <v>577</v>
      </c>
      <c r="C30" s="13">
        <f t="shared" si="7"/>
        <v>-1933</v>
      </c>
      <c r="D30" s="13">
        <f t="shared" si="7"/>
        <v>-285</v>
      </c>
      <c r="E30" s="13">
        <f t="shared" si="7"/>
        <v>-1160</v>
      </c>
      <c r="F30" s="13">
        <f t="shared" si="7"/>
        <v>-2801</v>
      </c>
      <c r="G30" s="13">
        <f t="shared" si="7"/>
        <v>-899</v>
      </c>
      <c r="H30" s="13">
        <f t="shared" si="7"/>
        <v>-849</v>
      </c>
      <c r="I30" s="13">
        <f t="shared" si="7"/>
        <v>434</v>
      </c>
      <c r="J30" s="13">
        <f t="shared" ref="J30" si="8">J29+J27</f>
        <v>770</v>
      </c>
      <c r="K30" s="13">
        <f t="shared" si="7"/>
        <v>-544</v>
      </c>
    </row>
    <row r="31" spans="1:11" s="1" customFormat="1" ht="12" x14ac:dyDescent="0.2">
      <c r="A31" s="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11" s="1" customFormat="1" ht="12" x14ac:dyDescent="0.2">
      <c r="A32" s="7" t="s">
        <v>107</v>
      </c>
      <c r="B32" s="17">
        <v>-36</v>
      </c>
      <c r="C32" s="17">
        <v>-37</v>
      </c>
      <c r="D32" s="17">
        <v>-36</v>
      </c>
      <c r="E32" s="17">
        <v>-38</v>
      </c>
      <c r="F32" s="17">
        <f>SUM(B32:E32)</f>
        <v>-147</v>
      </c>
      <c r="G32" s="17">
        <v>-37</v>
      </c>
      <c r="H32" s="17">
        <v>-37</v>
      </c>
      <c r="I32" s="17">
        <v>-36</v>
      </c>
      <c r="J32" s="17">
        <v>-37</v>
      </c>
      <c r="K32" s="17">
        <v>-147</v>
      </c>
    </row>
    <row r="33" spans="1:11" s="1" customFormat="1" ht="12" x14ac:dyDescent="0.2">
      <c r="A33" s="34" t="s">
        <v>91</v>
      </c>
      <c r="B33" s="3">
        <f>-464+29</f>
        <v>-435</v>
      </c>
      <c r="C33" s="3">
        <f>-458+29</f>
        <v>-429</v>
      </c>
      <c r="D33" s="3">
        <f>-1484+29</f>
        <v>-1455</v>
      </c>
      <c r="E33" s="3">
        <f>-452+32</f>
        <v>-420</v>
      </c>
      <c r="F33" s="43">
        <f>SUM(B33:E33)</f>
        <v>-2739</v>
      </c>
      <c r="G33" s="3">
        <f>-410+30</f>
        <v>-380</v>
      </c>
      <c r="H33" s="3">
        <f>-368+30</f>
        <v>-338</v>
      </c>
      <c r="I33" s="3">
        <f>-376+30</f>
        <v>-346</v>
      </c>
      <c r="J33" s="3">
        <f>-382+30</f>
        <v>-352</v>
      </c>
      <c r="K33" s="3">
        <f>-1536+30+30+30+30</f>
        <v>-1416</v>
      </c>
    </row>
    <row r="34" spans="1:11" s="1" customFormat="1" ht="12" x14ac:dyDescent="0.2">
      <c r="A34" s="34" t="s">
        <v>90</v>
      </c>
      <c r="B34" s="3">
        <v>-869</v>
      </c>
      <c r="C34" s="3">
        <v>-913</v>
      </c>
      <c r="D34" s="3">
        <v>-928</v>
      </c>
      <c r="E34" s="3">
        <v>-1107</v>
      </c>
      <c r="F34" s="3">
        <f>SUM(B34:E34)</f>
        <v>-3817</v>
      </c>
      <c r="G34" s="3">
        <v>-848</v>
      </c>
      <c r="H34" s="3">
        <v>-797</v>
      </c>
      <c r="I34" s="3">
        <v>-786</v>
      </c>
      <c r="J34" s="3">
        <v>-823</v>
      </c>
      <c r="K34" s="3">
        <v>-3254</v>
      </c>
    </row>
    <row r="35" spans="1:11" s="1" customFormat="1" ht="12" x14ac:dyDescent="0.2">
      <c r="A35" s="7" t="s">
        <v>110</v>
      </c>
      <c r="B35" s="3">
        <v>2</v>
      </c>
      <c r="C35" s="3">
        <v>1</v>
      </c>
      <c r="D35" s="3">
        <v>1</v>
      </c>
      <c r="E35" s="3">
        <v>3</v>
      </c>
      <c r="F35" s="3">
        <v>7</v>
      </c>
      <c r="G35" s="3">
        <v>2</v>
      </c>
      <c r="H35" s="3">
        <v>3</v>
      </c>
      <c r="I35" s="3">
        <v>3</v>
      </c>
      <c r="J35" s="3">
        <v>2</v>
      </c>
      <c r="K35" s="3">
        <v>10</v>
      </c>
    </row>
    <row r="36" spans="1:11" s="1" customFormat="1" ht="12" x14ac:dyDescent="0.2">
      <c r="A36" s="6" t="s">
        <v>26</v>
      </c>
      <c r="B36" s="4">
        <v>0</v>
      </c>
      <c r="C36" s="4">
        <v>0</v>
      </c>
      <c r="D36" s="4">
        <v>-1</v>
      </c>
      <c r="E36" s="4">
        <v>3</v>
      </c>
      <c r="F36" s="4">
        <v>2</v>
      </c>
      <c r="G36" s="4">
        <v>12</v>
      </c>
      <c r="H36" s="4">
        <v>0</v>
      </c>
      <c r="I36" s="4">
        <v>-121</v>
      </c>
      <c r="J36" s="4">
        <v>-34</v>
      </c>
      <c r="K36" s="4">
        <v>-143</v>
      </c>
    </row>
    <row r="37" spans="1:11" s="30" customFormat="1" ht="12" x14ac:dyDescent="0.2">
      <c r="A37" s="31" t="s">
        <v>27</v>
      </c>
      <c r="B37" s="13">
        <f t="shared" ref="B37:K37" si="9">SUM(B30:B36)</f>
        <v>-761</v>
      </c>
      <c r="C37" s="13">
        <f t="shared" si="9"/>
        <v>-3311</v>
      </c>
      <c r="D37" s="13">
        <f t="shared" si="9"/>
        <v>-2704</v>
      </c>
      <c r="E37" s="13">
        <f t="shared" si="9"/>
        <v>-2719</v>
      </c>
      <c r="F37" s="13">
        <f t="shared" si="9"/>
        <v>-9495</v>
      </c>
      <c r="G37" s="13">
        <f t="shared" si="9"/>
        <v>-2150</v>
      </c>
      <c r="H37" s="13">
        <f t="shared" si="9"/>
        <v>-2018</v>
      </c>
      <c r="I37" s="13">
        <f t="shared" si="9"/>
        <v>-852</v>
      </c>
      <c r="J37" s="13">
        <f t="shared" ref="J37" si="10">SUM(J30:J36)</f>
        <v>-474</v>
      </c>
      <c r="K37" s="13">
        <f t="shared" si="9"/>
        <v>-5494</v>
      </c>
    </row>
    <row r="38" spans="1:11" s="1" customFormat="1" ht="12" x14ac:dyDescent="0.2">
      <c r="A38" s="34"/>
      <c r="B38" s="3"/>
      <c r="C38" s="3"/>
      <c r="D38" s="3"/>
      <c r="E38" s="3"/>
      <c r="F38" s="3"/>
      <c r="G38" s="3"/>
      <c r="H38" s="3"/>
      <c r="I38" s="3"/>
      <c r="J38" s="3"/>
      <c r="K38" s="3"/>
    </row>
    <row r="39" spans="1:11" s="1" customFormat="1" ht="12" x14ac:dyDescent="0.2">
      <c r="A39" s="7" t="s">
        <v>28</v>
      </c>
      <c r="B39" s="3">
        <v>0</v>
      </c>
      <c r="C39" s="3">
        <v>0</v>
      </c>
      <c r="D39" s="3">
        <v>0</v>
      </c>
      <c r="E39" s="3">
        <v>0</v>
      </c>
      <c r="F39" s="3">
        <v>0</v>
      </c>
      <c r="G39" s="3">
        <v>0</v>
      </c>
      <c r="H39" s="3">
        <v>0</v>
      </c>
      <c r="I39" s="3">
        <v>0</v>
      </c>
      <c r="J39" s="3">
        <v>0</v>
      </c>
      <c r="K39" s="3">
        <v>0</v>
      </c>
    </row>
    <row r="40" spans="1:11" s="1" customFormat="1" ht="12" x14ac:dyDescent="0.2">
      <c r="A40" s="7" t="s">
        <v>29</v>
      </c>
      <c r="B40" s="3">
        <v>32</v>
      </c>
      <c r="C40" s="3">
        <v>24</v>
      </c>
      <c r="D40" s="3">
        <v>20</v>
      </c>
      <c r="E40" s="3">
        <v>16</v>
      </c>
      <c r="F40" s="3">
        <v>76</v>
      </c>
      <c r="G40" s="3">
        <v>6</v>
      </c>
      <c r="H40" s="3">
        <v>7</v>
      </c>
      <c r="I40" s="3">
        <v>3</v>
      </c>
      <c r="J40" s="3">
        <v>4</v>
      </c>
      <c r="K40" s="3">
        <v>20</v>
      </c>
    </row>
    <row r="41" spans="1:11" s="1" customFormat="1" ht="12" x14ac:dyDescent="0.2">
      <c r="A41" s="7" t="s">
        <v>30</v>
      </c>
      <c r="B41" s="3">
        <v>-153</v>
      </c>
      <c r="C41" s="3">
        <v>-169</v>
      </c>
      <c r="D41" s="3">
        <v>-188</v>
      </c>
      <c r="E41" s="3">
        <v>-223</v>
      </c>
      <c r="F41" s="3">
        <v>-717</v>
      </c>
      <c r="G41" s="3">
        <v>-132</v>
      </c>
      <c r="H41" s="3">
        <v>-151</v>
      </c>
      <c r="I41" s="3">
        <v>-180</v>
      </c>
      <c r="J41" s="3">
        <f>-145-1</f>
        <v>-146</v>
      </c>
      <c r="K41" s="3">
        <v>-609</v>
      </c>
    </row>
    <row r="42" spans="1:11" s="1" customFormat="1" ht="12" x14ac:dyDescent="0.2">
      <c r="A42" s="7" t="s">
        <v>92</v>
      </c>
      <c r="B42" s="17">
        <v>-199</v>
      </c>
      <c r="C42" s="17">
        <v>-262</v>
      </c>
      <c r="D42" s="17">
        <v>826</v>
      </c>
      <c r="E42" s="17">
        <v>-326</v>
      </c>
      <c r="F42" s="17">
        <v>39</v>
      </c>
      <c r="G42" s="17">
        <v>361</v>
      </c>
      <c r="H42" s="17">
        <v>-169</v>
      </c>
      <c r="I42" s="17">
        <v>-305</v>
      </c>
      <c r="J42" s="17">
        <f>-330+1</f>
        <v>-329</v>
      </c>
      <c r="K42" s="17">
        <v>-442</v>
      </c>
    </row>
    <row r="43" spans="1:11" s="30" customFormat="1" ht="12" x14ac:dyDescent="0.2">
      <c r="A43" s="25" t="s">
        <v>31</v>
      </c>
      <c r="B43" s="23">
        <f t="shared" ref="B43:K43" si="11">SUM(B37:B42)</f>
        <v>-1081</v>
      </c>
      <c r="C43" s="23">
        <f t="shared" si="11"/>
        <v>-3718</v>
      </c>
      <c r="D43" s="23">
        <f t="shared" si="11"/>
        <v>-2046</v>
      </c>
      <c r="E43" s="23">
        <f t="shared" si="11"/>
        <v>-3252</v>
      </c>
      <c r="F43" s="23">
        <f t="shared" si="11"/>
        <v>-10097</v>
      </c>
      <c r="G43" s="23">
        <f t="shared" si="11"/>
        <v>-1915</v>
      </c>
      <c r="H43" s="23">
        <f t="shared" si="11"/>
        <v>-2331</v>
      </c>
      <c r="I43" s="23">
        <f t="shared" si="11"/>
        <v>-1334</v>
      </c>
      <c r="J43" s="23">
        <f t="shared" ref="J43" si="12">SUM(J37:J42)</f>
        <v>-945</v>
      </c>
      <c r="K43" s="23">
        <f t="shared" si="11"/>
        <v>-6525</v>
      </c>
    </row>
    <row r="44" spans="1:11" s="1" customFormat="1" ht="12" x14ac:dyDescent="0.2">
      <c r="B44" s="3"/>
      <c r="C44" s="3"/>
      <c r="D44" s="3"/>
      <c r="E44" s="3"/>
      <c r="F44" s="3"/>
      <c r="G44" s="3"/>
      <c r="H44" s="3"/>
      <c r="I44" s="3"/>
      <c r="J44" s="3"/>
      <c r="K44" s="3"/>
    </row>
    <row r="45" spans="1:11" s="1" customFormat="1" ht="12" x14ac:dyDescent="0.2">
      <c r="A45" s="33" t="s">
        <v>32</v>
      </c>
      <c r="B45" s="4">
        <f>226-1</f>
        <v>225</v>
      </c>
      <c r="C45" s="4">
        <v>252</v>
      </c>
      <c r="D45" s="4">
        <f>-294-4</f>
        <v>-298</v>
      </c>
      <c r="E45" s="4">
        <f>692-6</f>
        <v>686</v>
      </c>
      <c r="F45" s="29">
        <f>SUM(B45:E45)</f>
        <v>865</v>
      </c>
      <c r="G45" s="4">
        <f>-114-4</f>
        <v>-118</v>
      </c>
      <c r="H45" s="4">
        <f>-72-7</f>
        <v>-79</v>
      </c>
      <c r="I45" s="4">
        <f>3-5</f>
        <v>-2</v>
      </c>
      <c r="J45" s="4">
        <v>201</v>
      </c>
      <c r="K45" s="4">
        <v>2</v>
      </c>
    </row>
    <row r="46" spans="1:11" s="30" customFormat="1" ht="12" x14ac:dyDescent="0.2">
      <c r="A46" s="30" t="s">
        <v>33</v>
      </c>
      <c r="B46" s="13">
        <f t="shared" ref="B46:K46" si="13">SUM(B43:B45)</f>
        <v>-856</v>
      </c>
      <c r="C46" s="13">
        <f t="shared" si="13"/>
        <v>-3466</v>
      </c>
      <c r="D46" s="13">
        <f t="shared" si="13"/>
        <v>-2344</v>
      </c>
      <c r="E46" s="13">
        <f t="shared" si="13"/>
        <v>-2566</v>
      </c>
      <c r="F46" s="13">
        <f t="shared" si="13"/>
        <v>-9232</v>
      </c>
      <c r="G46" s="13">
        <f t="shared" si="13"/>
        <v>-2033</v>
      </c>
      <c r="H46" s="13">
        <f t="shared" si="13"/>
        <v>-2410</v>
      </c>
      <c r="I46" s="13">
        <f t="shared" si="13"/>
        <v>-1336</v>
      </c>
      <c r="J46" s="13">
        <f t="shared" ref="J46" si="14">SUM(J43:J45)</f>
        <v>-744</v>
      </c>
      <c r="K46" s="13">
        <f t="shared" si="13"/>
        <v>-6523</v>
      </c>
    </row>
    <row r="47" spans="1:11" s="1" customFormat="1" ht="12" x14ac:dyDescent="0.2">
      <c r="B47" s="3"/>
      <c r="C47" s="3"/>
      <c r="D47" s="3"/>
      <c r="E47" s="3"/>
      <c r="F47" s="3"/>
      <c r="G47" s="3"/>
      <c r="H47" s="3"/>
      <c r="I47" s="3"/>
      <c r="J47" s="3"/>
      <c r="K47" s="3"/>
    </row>
    <row r="48" spans="1:11" s="1" customFormat="1" ht="12" x14ac:dyDescent="0.2">
      <c r="B48" s="3"/>
      <c r="C48" s="3"/>
      <c r="D48" s="3"/>
      <c r="E48" s="3"/>
      <c r="F48" s="3"/>
      <c r="G48" s="3"/>
      <c r="H48" s="3"/>
      <c r="I48" s="3"/>
      <c r="J48" s="3"/>
      <c r="K48" s="3"/>
    </row>
    <row r="49" spans="1:11" s="1" customFormat="1" ht="12" x14ac:dyDescent="0.2">
      <c r="A49" s="7" t="s">
        <v>34</v>
      </c>
    </row>
    <row r="50" spans="1:11" s="1" customFormat="1" ht="12" x14ac:dyDescent="0.2">
      <c r="A50" s="7" t="s">
        <v>35</v>
      </c>
      <c r="B50" s="3">
        <f>B46</f>
        <v>-856</v>
      </c>
      <c r="C50" s="3">
        <f t="shared" ref="C50:K50" si="15">C46</f>
        <v>-3466</v>
      </c>
      <c r="D50" s="3">
        <f t="shared" si="15"/>
        <v>-2344</v>
      </c>
      <c r="E50" s="3">
        <f t="shared" si="15"/>
        <v>-2566</v>
      </c>
      <c r="F50" s="3">
        <f t="shared" si="15"/>
        <v>-9232</v>
      </c>
      <c r="G50" s="3">
        <f t="shared" si="15"/>
        <v>-2033</v>
      </c>
      <c r="H50" s="3">
        <f t="shared" si="15"/>
        <v>-2410</v>
      </c>
      <c r="I50" s="3">
        <f t="shared" si="15"/>
        <v>-1336</v>
      </c>
      <c r="J50" s="3">
        <f t="shared" ref="J50" si="16">J46</f>
        <v>-744</v>
      </c>
      <c r="K50" s="3">
        <f t="shared" si="15"/>
        <v>-6523</v>
      </c>
    </row>
    <row r="51" spans="1:11" s="1" customFormat="1" ht="12" x14ac:dyDescent="0.2">
      <c r="A51" s="7" t="s">
        <v>36</v>
      </c>
      <c r="B51" s="3">
        <v>0</v>
      </c>
      <c r="C51" s="3">
        <v>0</v>
      </c>
      <c r="D51" s="3">
        <v>0</v>
      </c>
      <c r="E51" s="3">
        <v>0</v>
      </c>
      <c r="F51" s="3">
        <v>0</v>
      </c>
      <c r="G51" s="3">
        <v>0</v>
      </c>
      <c r="H51" s="3">
        <v>0</v>
      </c>
      <c r="I51" s="3">
        <v>0</v>
      </c>
      <c r="J51" s="3">
        <v>0</v>
      </c>
      <c r="K51" s="3">
        <v>0</v>
      </c>
    </row>
    <row r="52" spans="1:11" s="1" customFormat="1" ht="12" x14ac:dyDescent="0.2"/>
    <row r="53" spans="1:11" s="1" customFormat="1" ht="12" x14ac:dyDescent="0.2">
      <c r="B53" s="3"/>
      <c r="C53" s="3"/>
      <c r="D53" s="3"/>
      <c r="E53" s="3"/>
      <c r="F53" s="3"/>
      <c r="G53" s="3"/>
      <c r="H53" s="3"/>
      <c r="I53" s="3"/>
      <c r="J53" s="3"/>
      <c r="K53" s="3"/>
    </row>
    <row r="54" spans="1:11" s="1" customFormat="1" ht="12" hidden="1" x14ac:dyDescent="0.2">
      <c r="B54" s="3"/>
      <c r="C54" s="3"/>
      <c r="D54" s="3"/>
      <c r="E54" s="3"/>
      <c r="F54" s="3"/>
      <c r="G54" s="3"/>
      <c r="H54" s="3"/>
      <c r="I54" s="3"/>
      <c r="J54" s="3"/>
      <c r="K54" s="3"/>
    </row>
    <row r="55" spans="1:11" s="1" customFormat="1" ht="12" hidden="1" x14ac:dyDescent="0.2">
      <c r="B55" s="3"/>
      <c r="C55" s="3"/>
      <c r="D55" s="3"/>
      <c r="E55" s="3"/>
      <c r="F55" s="3"/>
      <c r="G55" s="3"/>
      <c r="H55" s="3"/>
      <c r="I55" s="3"/>
      <c r="J55" s="3"/>
      <c r="K55" s="3"/>
    </row>
    <row r="56" spans="1:11" s="1" customFormat="1" ht="12" hidden="1" x14ac:dyDescent="0.2">
      <c r="B56" s="3"/>
      <c r="C56" s="3"/>
      <c r="D56" s="3"/>
      <c r="E56" s="3"/>
      <c r="F56" s="3"/>
      <c r="G56" s="3"/>
      <c r="H56" s="3"/>
      <c r="I56" s="3"/>
      <c r="J56" s="3"/>
      <c r="K56" s="3"/>
    </row>
    <row r="57" spans="1:11" s="1" customFormat="1" ht="12" hidden="1" x14ac:dyDescent="0.2">
      <c r="B57" s="3"/>
      <c r="C57" s="3"/>
      <c r="D57" s="3"/>
      <c r="E57" s="3"/>
      <c r="F57" s="3"/>
      <c r="G57" s="3"/>
      <c r="H57" s="3"/>
      <c r="I57" s="3"/>
      <c r="J57" s="3"/>
      <c r="K57" s="3"/>
    </row>
    <row r="58" spans="1:11" s="1" customFormat="1" ht="12" hidden="1" x14ac:dyDescent="0.2">
      <c r="B58" s="3"/>
      <c r="C58" s="3"/>
      <c r="D58" s="3"/>
      <c r="E58" s="3"/>
      <c r="F58" s="3"/>
      <c r="G58" s="3"/>
      <c r="H58" s="3"/>
      <c r="I58" s="3"/>
      <c r="J58" s="3"/>
      <c r="K58" s="3"/>
    </row>
    <row r="59" spans="1:11" s="1" customFormat="1" ht="12" hidden="1" x14ac:dyDescent="0.2">
      <c r="B59" s="3"/>
      <c r="C59" s="3"/>
      <c r="D59" s="3"/>
      <c r="E59" s="3"/>
      <c r="F59" s="3"/>
      <c r="G59" s="3"/>
      <c r="H59" s="3"/>
      <c r="I59" s="3"/>
      <c r="J59" s="3"/>
      <c r="K59" s="3"/>
    </row>
    <row r="60" spans="1:11" s="1" customFormat="1" ht="12" hidden="1" x14ac:dyDescent="0.2">
      <c r="B60" s="3"/>
      <c r="C60" s="3"/>
      <c r="D60" s="3"/>
      <c r="E60" s="3"/>
      <c r="F60" s="3"/>
      <c r="G60" s="3"/>
      <c r="H60" s="3"/>
      <c r="I60" s="3"/>
      <c r="J60" s="3"/>
      <c r="K60" s="3"/>
    </row>
    <row r="61" spans="1:11" s="1" customFormat="1" ht="12" hidden="1" x14ac:dyDescent="0.2">
      <c r="B61" s="3"/>
      <c r="C61" s="3"/>
      <c r="D61" s="3"/>
      <c r="E61" s="3"/>
      <c r="F61" s="3"/>
      <c r="G61" s="3"/>
      <c r="H61" s="3"/>
      <c r="I61" s="3"/>
      <c r="J61" s="3"/>
      <c r="K61" s="3"/>
    </row>
    <row r="62" spans="1:11" s="1" customFormat="1" ht="12" hidden="1" x14ac:dyDescent="0.2">
      <c r="B62" s="3"/>
      <c r="C62" s="3"/>
      <c r="D62" s="3"/>
      <c r="E62" s="3"/>
      <c r="F62" s="3"/>
      <c r="G62" s="3"/>
      <c r="H62" s="3"/>
      <c r="I62" s="3"/>
      <c r="J62" s="3"/>
      <c r="K62" s="3"/>
    </row>
    <row r="63" spans="1:11" s="1" customFormat="1" ht="12" hidden="1" x14ac:dyDescent="0.2">
      <c r="B63" s="3"/>
      <c r="C63" s="3"/>
      <c r="D63" s="3"/>
      <c r="E63" s="3"/>
      <c r="F63" s="3"/>
      <c r="G63" s="3"/>
      <c r="H63" s="3"/>
      <c r="I63" s="3"/>
      <c r="J63" s="3"/>
      <c r="K63" s="3"/>
    </row>
    <row r="64" spans="1:11" s="1" customFormat="1" ht="12" hidden="1" x14ac:dyDescent="0.2">
      <c r="B64" s="3"/>
      <c r="C64" s="3"/>
      <c r="D64" s="3"/>
      <c r="E64" s="3"/>
      <c r="F64" s="3"/>
      <c r="G64" s="3"/>
      <c r="H64" s="3"/>
      <c r="I64" s="3"/>
      <c r="J64" s="3"/>
      <c r="K64" s="3"/>
    </row>
    <row r="65" spans="1:11" s="1" customFormat="1" ht="12" hidden="1" x14ac:dyDescent="0.2">
      <c r="B65" s="3"/>
      <c r="C65" s="3"/>
      <c r="D65" s="3"/>
      <c r="E65" s="3"/>
      <c r="F65" s="3"/>
      <c r="G65" s="3"/>
      <c r="H65" s="3"/>
      <c r="I65" s="3"/>
      <c r="J65" s="3"/>
      <c r="K65" s="3"/>
    </row>
    <row r="66" spans="1:11" s="1" customFormat="1" ht="12" hidden="1" x14ac:dyDescent="0.2">
      <c r="B66" s="3"/>
      <c r="C66" s="3"/>
      <c r="D66" s="3"/>
      <c r="E66" s="3"/>
      <c r="F66" s="3"/>
      <c r="G66" s="3"/>
      <c r="H66" s="3"/>
      <c r="I66" s="3"/>
      <c r="J66" s="3"/>
      <c r="K66" s="3"/>
    </row>
    <row r="67" spans="1:11" s="1" customFormat="1" ht="12" hidden="1" x14ac:dyDescent="0.2">
      <c r="B67" s="3"/>
      <c r="C67" s="3"/>
      <c r="D67" s="3"/>
      <c r="E67" s="3"/>
      <c r="F67" s="3"/>
      <c r="G67" s="3"/>
      <c r="H67" s="3"/>
      <c r="I67" s="3"/>
      <c r="J67" s="3"/>
      <c r="K67" s="3"/>
    </row>
    <row r="68" spans="1:11" s="1" customFormat="1" ht="12" hidden="1" x14ac:dyDescent="0.2">
      <c r="B68" s="3"/>
      <c r="C68" s="3"/>
      <c r="D68" s="3"/>
      <c r="E68" s="3"/>
      <c r="F68" s="3"/>
      <c r="G68" s="3"/>
      <c r="H68" s="3"/>
      <c r="I68" s="3"/>
      <c r="J68" s="3"/>
      <c r="K68" s="3"/>
    </row>
    <row r="69" spans="1:11" s="1" customFormat="1" ht="12" hidden="1" x14ac:dyDescent="0.2">
      <c r="B69" s="3"/>
      <c r="C69" s="3"/>
      <c r="D69" s="3"/>
      <c r="E69" s="3"/>
      <c r="F69" s="3"/>
      <c r="G69" s="3"/>
      <c r="H69" s="3"/>
      <c r="I69" s="3"/>
      <c r="J69" s="3"/>
      <c r="K69" s="3"/>
    </row>
    <row r="70" spans="1:11" s="1" customFormat="1" ht="12" hidden="1" x14ac:dyDescent="0.2">
      <c r="B70" s="3"/>
      <c r="C70" s="3"/>
      <c r="D70" s="3"/>
      <c r="E70" s="3"/>
      <c r="F70" s="3"/>
      <c r="G70" s="3"/>
      <c r="H70" s="3"/>
      <c r="I70" s="3"/>
      <c r="J70" s="3"/>
      <c r="K70" s="3"/>
    </row>
    <row r="71" spans="1:11" s="1" customFormat="1" ht="12" hidden="1" x14ac:dyDescent="0.2">
      <c r="B71" s="3"/>
      <c r="C71" s="3"/>
      <c r="D71" s="3"/>
      <c r="E71" s="3"/>
      <c r="F71" s="3"/>
      <c r="G71" s="3"/>
      <c r="H71" s="3"/>
      <c r="I71" s="3"/>
      <c r="J71" s="3"/>
      <c r="K71" s="3"/>
    </row>
    <row r="72" spans="1:11" s="1" customFormat="1" ht="12" hidden="1" x14ac:dyDescent="0.2">
      <c r="B72" s="3"/>
      <c r="C72" s="3"/>
      <c r="D72" s="3"/>
      <c r="E72" s="3"/>
      <c r="F72" s="3"/>
      <c r="G72" s="3"/>
      <c r="H72" s="3"/>
      <c r="I72" s="3"/>
      <c r="J72" s="3"/>
      <c r="K72" s="3"/>
    </row>
    <row r="73" spans="1:11" s="1" customFormat="1" ht="12" hidden="1" x14ac:dyDescent="0.2">
      <c r="B73" s="3"/>
      <c r="C73" s="3"/>
      <c r="D73" s="3"/>
      <c r="E73" s="3"/>
      <c r="F73" s="3"/>
      <c r="G73" s="3"/>
      <c r="H73" s="3"/>
      <c r="I73" s="3"/>
      <c r="J73" s="3"/>
      <c r="K73" s="3"/>
    </row>
    <row r="74" spans="1:11" s="1" customFormat="1" ht="12" hidden="1" x14ac:dyDescent="0.2">
      <c r="B74" s="3"/>
      <c r="C74" s="3"/>
      <c r="D74" s="3"/>
      <c r="E74" s="3"/>
      <c r="F74" s="3"/>
      <c r="G74" s="3"/>
      <c r="H74" s="3"/>
      <c r="I74" s="3"/>
      <c r="J74" s="3"/>
      <c r="K74" s="3"/>
    </row>
    <row r="75" spans="1:11" s="1" customFormat="1" ht="12" hidden="1" x14ac:dyDescent="0.2">
      <c r="B75" s="3"/>
      <c r="C75" s="3"/>
      <c r="D75" s="3"/>
      <c r="E75" s="3"/>
      <c r="F75" s="3"/>
      <c r="G75" s="3"/>
      <c r="H75" s="3"/>
      <c r="I75" s="3"/>
      <c r="J75" s="3"/>
      <c r="K75" s="3"/>
    </row>
    <row r="76" spans="1:11" s="1" customFormat="1" ht="12" x14ac:dyDescent="0.2">
      <c r="B76" s="3"/>
      <c r="C76" s="3"/>
      <c r="D76" s="3"/>
      <c r="E76" s="3"/>
      <c r="F76" s="3"/>
      <c r="G76" s="3"/>
      <c r="H76" s="3"/>
      <c r="I76" s="3"/>
      <c r="J76" s="3"/>
      <c r="K76" s="3"/>
    </row>
    <row r="77" spans="1:11" s="1" customFormat="1" ht="12" x14ac:dyDescent="0.2">
      <c r="B77" s="3"/>
      <c r="C77" s="3"/>
      <c r="D77" s="3"/>
      <c r="E77" s="3"/>
      <c r="F77" s="3"/>
      <c r="G77" s="3"/>
      <c r="H77" s="3"/>
      <c r="I77" s="3"/>
      <c r="J77" s="3"/>
      <c r="K77" s="3"/>
    </row>
    <row r="78" spans="1:11" s="1" customFormat="1" ht="12" x14ac:dyDescent="0.2">
      <c r="A78" s="33"/>
      <c r="B78" s="2" t="s">
        <v>88</v>
      </c>
      <c r="C78" s="2">
        <v>2020</v>
      </c>
      <c r="D78" s="2">
        <v>2020</v>
      </c>
      <c r="E78" s="2">
        <v>2020</v>
      </c>
      <c r="F78" s="2">
        <v>2020</v>
      </c>
      <c r="G78" s="2" t="s">
        <v>88</v>
      </c>
      <c r="H78" s="2">
        <v>2021</v>
      </c>
      <c r="I78" s="2">
        <v>2021</v>
      </c>
      <c r="J78" s="2">
        <v>2021</v>
      </c>
      <c r="K78" s="2" t="s">
        <v>108</v>
      </c>
    </row>
    <row r="79" spans="1:11" s="1" customFormat="1" ht="12" x14ac:dyDescent="0.2">
      <c r="A79" s="30" t="s">
        <v>37</v>
      </c>
      <c r="B79" s="15" t="s">
        <v>4</v>
      </c>
      <c r="C79" s="15" t="s">
        <v>5</v>
      </c>
      <c r="D79" s="15" t="s">
        <v>2</v>
      </c>
      <c r="E79" s="15" t="str">
        <f>E5</f>
        <v>AUG-</v>
      </c>
      <c r="F79" s="15" t="str">
        <f>F5</f>
        <v>NOV-</v>
      </c>
      <c r="G79" s="15" t="s">
        <v>4</v>
      </c>
      <c r="H79" s="15" t="s">
        <v>5</v>
      </c>
      <c r="I79" s="15" t="s">
        <v>2</v>
      </c>
      <c r="J79" s="15" t="str">
        <f>J5</f>
        <v>AUG-</v>
      </c>
      <c r="K79" s="15" t="s">
        <v>4</v>
      </c>
    </row>
    <row r="80" spans="1:11" s="1" customFormat="1" ht="12" x14ac:dyDescent="0.2">
      <c r="A80" s="6" t="s">
        <v>6</v>
      </c>
      <c r="B80" s="16" t="s">
        <v>9</v>
      </c>
      <c r="C80" s="16" t="s">
        <v>10</v>
      </c>
      <c r="D80" s="16" t="s">
        <v>7</v>
      </c>
      <c r="E80" s="16" t="str">
        <f>E6</f>
        <v>OCT</v>
      </c>
      <c r="F80" s="16" t="str">
        <f>F6</f>
        <v>OCT</v>
      </c>
      <c r="G80" s="16" t="s">
        <v>9</v>
      </c>
      <c r="H80" s="16" t="s">
        <v>10</v>
      </c>
      <c r="I80" s="16" t="s">
        <v>7</v>
      </c>
      <c r="J80" s="16" t="str">
        <f>J6</f>
        <v>OCT</v>
      </c>
      <c r="K80" s="16" t="s">
        <v>8</v>
      </c>
    </row>
    <row r="81" spans="1:11" s="1" customFormat="1" ht="12" x14ac:dyDescent="0.2">
      <c r="A81" s="34" t="s">
        <v>38</v>
      </c>
      <c r="B81" s="3">
        <v>-34</v>
      </c>
      <c r="C81" s="3">
        <v>-161</v>
      </c>
      <c r="D81" s="3">
        <v>-62</v>
      </c>
      <c r="E81" s="3">
        <v>-60</v>
      </c>
      <c r="F81" s="3">
        <v>-317</v>
      </c>
      <c r="G81" s="3">
        <v>-67</v>
      </c>
      <c r="H81" s="3">
        <v>-81</v>
      </c>
      <c r="I81" s="3">
        <v>-77</v>
      </c>
      <c r="J81" s="3">
        <v>-84</v>
      </c>
      <c r="K81" s="3">
        <f>SUM(G81:J81)</f>
        <v>-309</v>
      </c>
    </row>
    <row r="82" spans="1:11" s="1" customFormat="1" ht="12" x14ac:dyDescent="0.2">
      <c r="A82" s="34" t="s">
        <v>39</v>
      </c>
      <c r="B82" s="3">
        <v>-11</v>
      </c>
      <c r="C82" s="3">
        <v>-69</v>
      </c>
      <c r="D82" s="3">
        <v>-11</v>
      </c>
      <c r="E82" s="3">
        <v>-25</v>
      </c>
      <c r="F82" s="3">
        <v>-116</v>
      </c>
      <c r="G82" s="3">
        <v>-68</v>
      </c>
      <c r="H82" s="3">
        <v>-46</v>
      </c>
      <c r="I82" s="3">
        <v>-33</v>
      </c>
      <c r="J82" s="3">
        <v>-28</v>
      </c>
      <c r="K82" s="3">
        <f t="shared" ref="K82:K88" si="17">SUM(G82:J82)</f>
        <v>-175</v>
      </c>
    </row>
    <row r="83" spans="1:11" s="1" customFormat="1" ht="12" x14ac:dyDescent="0.2">
      <c r="A83" s="34" t="s">
        <v>40</v>
      </c>
      <c r="B83" s="3">
        <v>-9</v>
      </c>
      <c r="C83" s="3">
        <v>-31</v>
      </c>
      <c r="D83" s="3">
        <v>-11</v>
      </c>
      <c r="E83" s="3">
        <v>-6</v>
      </c>
      <c r="F83" s="3">
        <v>-57</v>
      </c>
      <c r="G83" s="3">
        <v>-8</v>
      </c>
      <c r="H83" s="3">
        <v>-6</v>
      </c>
      <c r="I83" s="3">
        <v>-9</v>
      </c>
      <c r="J83" s="3">
        <v>-8</v>
      </c>
      <c r="K83" s="3">
        <f t="shared" si="17"/>
        <v>-31</v>
      </c>
    </row>
    <row r="84" spans="1:11" s="1" customFormat="1" ht="12" x14ac:dyDescent="0.2">
      <c r="A84" s="34" t="s">
        <v>41</v>
      </c>
      <c r="B84" s="3">
        <v>-18</v>
      </c>
      <c r="C84" s="3">
        <v>-81</v>
      </c>
      <c r="D84" s="3">
        <v>-31</v>
      </c>
      <c r="E84" s="3">
        <v>-33</v>
      </c>
      <c r="F84" s="3">
        <v>-163</v>
      </c>
      <c r="G84" s="3">
        <v>-34</v>
      </c>
      <c r="H84" s="3">
        <v>-31</v>
      </c>
      <c r="I84" s="3">
        <v>-31</v>
      </c>
      <c r="J84" s="3">
        <v>-39</v>
      </c>
      <c r="K84" s="3">
        <f t="shared" si="17"/>
        <v>-135</v>
      </c>
    </row>
    <row r="85" spans="1:11" s="1" customFormat="1" ht="12" x14ac:dyDescent="0.2">
      <c r="A85" s="34" t="s">
        <v>42</v>
      </c>
      <c r="B85" s="3">
        <v>-36</v>
      </c>
      <c r="C85" s="3">
        <v>-136</v>
      </c>
      <c r="D85" s="3">
        <v>-11</v>
      </c>
      <c r="E85" s="3">
        <v>-27</v>
      </c>
      <c r="F85" s="3">
        <v>-210</v>
      </c>
      <c r="G85" s="3">
        <v>-22</v>
      </c>
      <c r="H85" s="3">
        <v>-11</v>
      </c>
      <c r="I85" s="3">
        <v>-24</v>
      </c>
      <c r="J85" s="3">
        <v>-51</v>
      </c>
      <c r="K85" s="3">
        <f t="shared" si="17"/>
        <v>-108</v>
      </c>
    </row>
    <row r="86" spans="1:11" s="1" customFormat="1" ht="12" x14ac:dyDescent="0.2">
      <c r="A86" s="34" t="s">
        <v>43</v>
      </c>
      <c r="B86" s="3">
        <v>-56</v>
      </c>
      <c r="C86" s="3">
        <v>-218</v>
      </c>
      <c r="D86" s="3">
        <v>-64</v>
      </c>
      <c r="E86" s="3">
        <v>-78</v>
      </c>
      <c r="F86" s="3">
        <v>-416</v>
      </c>
      <c r="G86" s="3">
        <v>-62</v>
      </c>
      <c r="H86" s="3">
        <v>-34</v>
      </c>
      <c r="I86" s="3">
        <v>-61</v>
      </c>
      <c r="J86" s="3">
        <v>-102</v>
      </c>
      <c r="K86" s="3">
        <f t="shared" si="17"/>
        <v>-259</v>
      </c>
    </row>
    <row r="87" spans="1:11" s="1" customFormat="1" ht="12" x14ac:dyDescent="0.2">
      <c r="A87" s="34" t="s">
        <v>44</v>
      </c>
      <c r="B87" s="3">
        <v>-17</v>
      </c>
      <c r="C87" s="3">
        <v>-53</v>
      </c>
      <c r="D87" s="3">
        <v>-10</v>
      </c>
      <c r="E87" s="3">
        <v>-6</v>
      </c>
      <c r="F87" s="3">
        <v>-86</v>
      </c>
      <c r="G87" s="3">
        <v>-2</v>
      </c>
      <c r="H87" s="3">
        <v>-1</v>
      </c>
      <c r="I87" s="3">
        <v>-20</v>
      </c>
      <c r="J87" s="3">
        <v>-2</v>
      </c>
      <c r="K87" s="3">
        <f t="shared" si="17"/>
        <v>-25</v>
      </c>
    </row>
    <row r="88" spans="1:11" s="1" customFormat="1" ht="12" x14ac:dyDescent="0.2">
      <c r="A88" s="6" t="s">
        <v>45</v>
      </c>
      <c r="B88" s="4">
        <f>-367</f>
        <v>-367</v>
      </c>
      <c r="C88" s="4">
        <f>791</f>
        <v>791</v>
      </c>
      <c r="D88" s="4">
        <f>401</f>
        <v>401</v>
      </c>
      <c r="E88" s="4">
        <f>74</f>
        <v>74</v>
      </c>
      <c r="F88" s="4">
        <f>899</f>
        <v>899</v>
      </c>
      <c r="G88" s="4">
        <f>129</f>
        <v>129</v>
      </c>
      <c r="H88" s="4">
        <v>261</v>
      </c>
      <c r="I88" s="4">
        <f>280</f>
        <v>280</v>
      </c>
      <c r="J88" s="4">
        <v>180</v>
      </c>
      <c r="K88" s="4">
        <f t="shared" si="17"/>
        <v>850</v>
      </c>
    </row>
    <row r="89" spans="1:11" s="30" customFormat="1" ht="12" x14ac:dyDescent="0.2">
      <c r="A89" s="31" t="s">
        <v>46</v>
      </c>
      <c r="B89" s="13">
        <f t="shared" ref="B89:K89" si="18">SUM(B81:B88)</f>
        <v>-548</v>
      </c>
      <c r="C89" s="13">
        <f t="shared" si="18"/>
        <v>42</v>
      </c>
      <c r="D89" s="13">
        <f t="shared" si="18"/>
        <v>201</v>
      </c>
      <c r="E89" s="13">
        <f t="shared" si="18"/>
        <v>-161</v>
      </c>
      <c r="F89" s="13">
        <f t="shared" si="18"/>
        <v>-466</v>
      </c>
      <c r="G89" s="13">
        <f t="shared" si="18"/>
        <v>-134</v>
      </c>
      <c r="H89" s="13">
        <f t="shared" si="18"/>
        <v>51</v>
      </c>
      <c r="I89" s="13">
        <f t="shared" si="18"/>
        <v>25</v>
      </c>
      <c r="J89" s="13">
        <f t="shared" ref="J89" si="19">SUM(J81:J88)</f>
        <v>-134</v>
      </c>
      <c r="K89" s="13">
        <f t="shared" si="18"/>
        <v>-192</v>
      </c>
    </row>
    <row r="90" spans="1:11" s="1" customFormat="1" ht="12" x14ac:dyDescent="0.2">
      <c r="A90" s="34"/>
      <c r="B90" s="3"/>
      <c r="C90" s="3"/>
      <c r="D90" s="3"/>
      <c r="E90" s="3"/>
      <c r="F90" s="3"/>
      <c r="G90" s="3"/>
      <c r="H90" s="3"/>
      <c r="I90" s="3"/>
      <c r="J90" s="3"/>
      <c r="K90" s="3"/>
    </row>
    <row r="91" spans="1:11" s="1" customFormat="1" ht="12" x14ac:dyDescent="0.2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</row>
    <row r="92" spans="1:11" s="1" customFormat="1" ht="12" x14ac:dyDescent="0.2">
      <c r="B92" s="3"/>
      <c r="C92" s="3"/>
      <c r="D92" s="3"/>
      <c r="E92" s="3"/>
      <c r="F92" s="3"/>
      <c r="G92" s="3"/>
      <c r="H92" s="3"/>
      <c r="I92" s="3"/>
      <c r="J92" s="3"/>
      <c r="K92" s="3"/>
    </row>
    <row r="93" spans="1:11" s="1" customFormat="1" ht="12" x14ac:dyDescent="0.2">
      <c r="A93" s="33"/>
      <c r="B93" s="2" t="s">
        <v>88</v>
      </c>
      <c r="C93" s="2">
        <v>2020</v>
      </c>
      <c r="D93" s="2">
        <v>2020</v>
      </c>
      <c r="E93" s="2">
        <v>2020</v>
      </c>
      <c r="F93" s="2">
        <v>2020</v>
      </c>
      <c r="G93" s="2" t="str">
        <f>G4</f>
        <v>2020-2021</v>
      </c>
      <c r="H93" s="2">
        <v>2021</v>
      </c>
      <c r="I93" s="2">
        <v>2021</v>
      </c>
      <c r="J93" s="2">
        <v>2021</v>
      </c>
      <c r="K93" s="2" t="s">
        <v>108</v>
      </c>
    </row>
    <row r="94" spans="1:11" s="1" customFormat="1" ht="12" x14ac:dyDescent="0.2">
      <c r="A94" s="30" t="s">
        <v>47</v>
      </c>
      <c r="B94" s="15" t="s">
        <v>4</v>
      </c>
      <c r="C94" s="15" t="s">
        <v>5</v>
      </c>
      <c r="D94" s="15" t="s">
        <v>2</v>
      </c>
      <c r="E94" s="15" t="str">
        <f>E79</f>
        <v>AUG-</v>
      </c>
      <c r="F94" s="15" t="str">
        <f>F79</f>
        <v>NOV-</v>
      </c>
      <c r="G94" s="15" t="str">
        <f>G5</f>
        <v>NOV-</v>
      </c>
      <c r="H94" s="15" t="s">
        <v>5</v>
      </c>
      <c r="I94" s="15" t="s">
        <v>2</v>
      </c>
      <c r="J94" s="15" t="str">
        <f>J79</f>
        <v>AUG-</v>
      </c>
      <c r="K94" s="15" t="s">
        <v>4</v>
      </c>
    </row>
    <row r="95" spans="1:11" s="1" customFormat="1" ht="12" x14ac:dyDescent="0.2">
      <c r="A95" s="6" t="s">
        <v>6</v>
      </c>
      <c r="B95" s="16" t="s">
        <v>9</v>
      </c>
      <c r="C95" s="16" t="s">
        <v>10</v>
      </c>
      <c r="D95" s="16" t="s">
        <v>7</v>
      </c>
      <c r="E95" s="16" t="str">
        <f>E80</f>
        <v>OCT</v>
      </c>
      <c r="F95" s="16" t="str">
        <f>F80</f>
        <v>OCT</v>
      </c>
      <c r="G95" s="2" t="str">
        <f>G6</f>
        <v>JAN</v>
      </c>
      <c r="H95" s="16" t="s">
        <v>10</v>
      </c>
      <c r="I95" s="16" t="s">
        <v>7</v>
      </c>
      <c r="J95" s="16" t="str">
        <f>J80</f>
        <v>OCT</v>
      </c>
      <c r="K95" s="16" t="s">
        <v>8</v>
      </c>
    </row>
    <row r="96" spans="1:11" s="1" customFormat="1" ht="12" x14ac:dyDescent="0.2">
      <c r="A96" s="1" t="s">
        <v>31</v>
      </c>
      <c r="B96" s="3">
        <f>B43</f>
        <v>-1081</v>
      </c>
      <c r="C96" s="3">
        <f t="shared" ref="C96:K96" si="20">C43</f>
        <v>-3718</v>
      </c>
      <c r="D96" s="3">
        <f t="shared" si="20"/>
        <v>-2046</v>
      </c>
      <c r="E96" s="3">
        <f t="shared" si="20"/>
        <v>-3252</v>
      </c>
      <c r="F96" s="3">
        <f t="shared" si="20"/>
        <v>-10097</v>
      </c>
      <c r="G96" s="3">
        <f t="shared" si="20"/>
        <v>-1915</v>
      </c>
      <c r="H96" s="3">
        <f t="shared" si="20"/>
        <v>-2331</v>
      </c>
      <c r="I96" s="3">
        <f t="shared" si="20"/>
        <v>-1334</v>
      </c>
      <c r="J96" s="3">
        <f t="shared" si="20"/>
        <v>-945</v>
      </c>
      <c r="K96" s="3">
        <f t="shared" si="20"/>
        <v>-6525</v>
      </c>
    </row>
    <row r="97" spans="1:11" s="1" customFormat="1" ht="12" x14ac:dyDescent="0.2">
      <c r="A97" s="1" t="s">
        <v>48</v>
      </c>
      <c r="B97" s="3">
        <v>0</v>
      </c>
      <c r="C97" s="3">
        <v>0</v>
      </c>
      <c r="D97" s="3">
        <v>1040</v>
      </c>
      <c r="E97" s="3">
        <v>170</v>
      </c>
      <c r="F97" s="3">
        <v>1210</v>
      </c>
      <c r="G97" s="3">
        <v>0</v>
      </c>
      <c r="H97" s="3">
        <v>0</v>
      </c>
      <c r="I97" s="3">
        <v>0</v>
      </c>
      <c r="J97" s="3"/>
      <c r="K97" s="3">
        <f t="shared" ref="K97" si="21">SUM(G97:J97)</f>
        <v>0</v>
      </c>
    </row>
    <row r="98" spans="1:11" s="1" customFormat="1" ht="12" x14ac:dyDescent="0.2">
      <c r="A98" s="1" t="s">
        <v>49</v>
      </c>
      <c r="B98" s="3">
        <v>9</v>
      </c>
      <c r="C98" s="3">
        <v>8</v>
      </c>
      <c r="D98" s="3">
        <v>246</v>
      </c>
      <c r="E98" s="3">
        <v>61</v>
      </c>
      <c r="F98" s="3">
        <v>324</v>
      </c>
      <c r="G98" s="3">
        <v>0</v>
      </c>
      <c r="H98" s="3">
        <v>0</v>
      </c>
      <c r="I98" s="3">
        <v>0</v>
      </c>
      <c r="J98" s="3"/>
      <c r="K98" s="3">
        <f t="shared" ref="K98" si="22">SUM(G98:J98)</f>
        <v>0</v>
      </c>
    </row>
    <row r="99" spans="1:11" s="1" customFormat="1" ht="12" x14ac:dyDescent="0.2">
      <c r="A99" s="1" t="s">
        <v>50</v>
      </c>
      <c r="B99" s="3">
        <v>0</v>
      </c>
      <c r="C99" s="3">
        <v>0</v>
      </c>
      <c r="D99" s="3">
        <v>1</v>
      </c>
      <c r="E99" s="3">
        <v>-3</v>
      </c>
      <c r="F99" s="3">
        <v>-2</v>
      </c>
      <c r="G99" s="3">
        <v>-12</v>
      </c>
      <c r="H99" s="3">
        <v>0</v>
      </c>
      <c r="I99" s="3">
        <v>121</v>
      </c>
      <c r="J99" s="3">
        <v>34</v>
      </c>
      <c r="K99" s="3">
        <f t="shared" ref="K99:K100" si="23">SUM(G99:J99)</f>
        <v>143</v>
      </c>
    </row>
    <row r="100" spans="1:11" s="1" customFormat="1" ht="12" x14ac:dyDescent="0.2">
      <c r="A100" s="33" t="s">
        <v>51</v>
      </c>
      <c r="B100" s="4">
        <v>0</v>
      </c>
      <c r="C100" s="4">
        <v>0</v>
      </c>
      <c r="D100" s="4">
        <v>0</v>
      </c>
      <c r="E100" s="4">
        <v>0</v>
      </c>
      <c r="F100" s="4">
        <v>0</v>
      </c>
      <c r="G100" s="4">
        <v>0</v>
      </c>
      <c r="H100" s="4">
        <v>0</v>
      </c>
      <c r="I100" s="4">
        <v>0</v>
      </c>
      <c r="J100" s="4"/>
      <c r="K100" s="4">
        <f t="shared" si="23"/>
        <v>0</v>
      </c>
    </row>
    <row r="101" spans="1:11" s="30" customFormat="1" ht="12" x14ac:dyDescent="0.2">
      <c r="A101" s="30" t="s">
        <v>47</v>
      </c>
      <c r="B101" s="13">
        <f>SUM(B96:B100)</f>
        <v>-1072</v>
      </c>
      <c r="C101" s="13">
        <f t="shared" ref="C101:K101" si="24">SUM(C96:C100)</f>
        <v>-3710</v>
      </c>
      <c r="D101" s="13">
        <f t="shared" si="24"/>
        <v>-759</v>
      </c>
      <c r="E101" s="13">
        <f t="shared" si="24"/>
        <v>-3024</v>
      </c>
      <c r="F101" s="13">
        <f t="shared" si="24"/>
        <v>-8565</v>
      </c>
      <c r="G101" s="13">
        <f t="shared" si="24"/>
        <v>-1927</v>
      </c>
      <c r="H101" s="13">
        <f t="shared" si="24"/>
        <v>-2331</v>
      </c>
      <c r="I101" s="13">
        <f t="shared" si="24"/>
        <v>-1213</v>
      </c>
      <c r="J101" s="13">
        <f t="shared" ref="J101" si="25">SUM(J96:J100)</f>
        <v>-911</v>
      </c>
      <c r="K101" s="13">
        <f t="shared" si="24"/>
        <v>-6382</v>
      </c>
    </row>
    <row r="102" spans="1:11" s="1" customFormat="1" ht="12" x14ac:dyDescent="0.2"/>
    <row r="103" spans="1:11" s="1" customFormat="1" ht="12" x14ac:dyDescent="0.2"/>
    <row r="104" spans="1:11" s="1" customFormat="1" ht="12" x14ac:dyDescent="0.2"/>
    <row r="105" spans="1:11" x14ac:dyDescent="0.25">
      <c r="B105" s="18"/>
      <c r="C105" s="18"/>
      <c r="D105" s="18"/>
      <c r="E105" s="18"/>
      <c r="F105" s="18"/>
      <c r="G105" s="18"/>
      <c r="H105" s="18"/>
      <c r="I105" s="18"/>
      <c r="J105" s="18"/>
      <c r="K105" s="18"/>
    </row>
    <row r="106" spans="1:11" x14ac:dyDescent="0.25">
      <c r="B106" s="18"/>
      <c r="C106" s="18"/>
      <c r="D106" s="18"/>
      <c r="E106" s="18"/>
      <c r="F106" s="18"/>
      <c r="G106" s="18"/>
      <c r="H106" s="18"/>
      <c r="I106" s="18"/>
      <c r="J106" s="18"/>
      <c r="K106" s="18"/>
    </row>
    <row r="107" spans="1:11" x14ac:dyDescent="0.25">
      <c r="B107" s="18"/>
      <c r="C107" s="18"/>
      <c r="D107" s="18"/>
      <c r="E107" s="18"/>
      <c r="F107" s="18"/>
      <c r="G107" s="18"/>
      <c r="H107" s="18"/>
      <c r="I107" s="18"/>
      <c r="J107" s="18"/>
      <c r="K107" s="18"/>
    </row>
    <row r="108" spans="1:11" x14ac:dyDescent="0.25">
      <c r="B108" s="18"/>
      <c r="C108" s="18"/>
      <c r="D108" s="18"/>
      <c r="E108" s="18"/>
      <c r="F108" s="18"/>
      <c r="G108" s="18"/>
      <c r="H108" s="18"/>
      <c r="I108" s="18"/>
      <c r="J108" s="18"/>
      <c r="K108" s="18"/>
    </row>
    <row r="109" spans="1:11" x14ac:dyDescent="0.25">
      <c r="B109" s="18"/>
      <c r="C109" s="18"/>
      <c r="D109" s="18"/>
      <c r="E109" s="18"/>
      <c r="F109" s="18"/>
      <c r="G109" s="18"/>
      <c r="H109" s="18"/>
      <c r="I109" s="18"/>
      <c r="J109" s="18"/>
      <c r="K109" s="18"/>
    </row>
    <row r="110" spans="1:11" x14ac:dyDescent="0.25">
      <c r="B110" s="18"/>
      <c r="C110" s="18"/>
      <c r="D110" s="18"/>
      <c r="E110" s="18"/>
      <c r="F110" s="18"/>
      <c r="G110" s="18"/>
      <c r="H110" s="18"/>
      <c r="I110" s="18"/>
      <c r="J110" s="18"/>
      <c r="K110" s="18"/>
    </row>
    <row r="111" spans="1:11" x14ac:dyDescent="0.25">
      <c r="B111" s="18"/>
      <c r="C111" s="18"/>
      <c r="D111" s="18"/>
      <c r="E111" s="18"/>
      <c r="F111" s="18"/>
      <c r="G111" s="18"/>
      <c r="H111" s="18"/>
      <c r="I111" s="18"/>
      <c r="J111" s="18"/>
      <c r="K111" s="18"/>
    </row>
    <row r="112" spans="1:11" x14ac:dyDescent="0.25">
      <c r="B112" s="18"/>
      <c r="C112" s="18"/>
      <c r="D112" s="18"/>
      <c r="E112" s="18"/>
      <c r="F112" s="18"/>
      <c r="G112" s="18"/>
      <c r="H112" s="18"/>
      <c r="I112" s="18"/>
      <c r="J112" s="18"/>
      <c r="K112" s="18"/>
    </row>
    <row r="113" spans="2:11" x14ac:dyDescent="0.25">
      <c r="B113" s="18"/>
      <c r="C113" s="18"/>
      <c r="D113" s="18"/>
      <c r="E113" s="18"/>
      <c r="F113" s="18"/>
      <c r="G113" s="18"/>
      <c r="H113" s="18"/>
      <c r="I113" s="18"/>
      <c r="J113" s="18"/>
      <c r="K113" s="18"/>
    </row>
    <row r="114" spans="2:11" x14ac:dyDescent="0.25">
      <c r="B114" s="18"/>
      <c r="C114" s="18"/>
      <c r="D114" s="18"/>
      <c r="E114" s="18"/>
      <c r="F114" s="18"/>
      <c r="G114" s="18"/>
      <c r="H114" s="18"/>
      <c r="I114" s="18"/>
      <c r="J114" s="18"/>
      <c r="K114" s="18"/>
    </row>
    <row r="115" spans="2:11" x14ac:dyDescent="0.25">
      <c r="B115" s="18"/>
      <c r="C115" s="18"/>
      <c r="D115" s="18"/>
      <c r="E115" s="18"/>
      <c r="F115" s="18"/>
      <c r="G115" s="18"/>
      <c r="H115" s="18"/>
      <c r="I115" s="18"/>
      <c r="J115" s="18"/>
      <c r="K115" s="18"/>
    </row>
    <row r="116" spans="2:11" x14ac:dyDescent="0.25">
      <c r="B116" s="18"/>
      <c r="C116" s="18"/>
      <c r="D116" s="18"/>
      <c r="E116" s="18"/>
      <c r="F116" s="18"/>
      <c r="G116" s="18"/>
      <c r="H116" s="18"/>
      <c r="I116" s="18"/>
      <c r="J116" s="18"/>
      <c r="K116" s="18"/>
    </row>
    <row r="117" spans="2:11" x14ac:dyDescent="0.25">
      <c r="B117" s="18"/>
      <c r="C117" s="18"/>
      <c r="D117" s="18"/>
      <c r="E117" s="18"/>
      <c r="F117" s="18"/>
      <c r="G117" s="18"/>
      <c r="H117" s="18"/>
      <c r="I117" s="18"/>
      <c r="J117" s="18"/>
      <c r="K117" s="18"/>
    </row>
    <row r="118" spans="2:11" x14ac:dyDescent="0.25">
      <c r="B118" s="18"/>
      <c r="C118" s="18"/>
      <c r="D118" s="18"/>
      <c r="E118" s="18"/>
      <c r="F118" s="18"/>
      <c r="G118" s="18"/>
      <c r="H118" s="18"/>
      <c r="I118" s="18"/>
      <c r="J118" s="18"/>
      <c r="K118" s="18"/>
    </row>
    <row r="119" spans="2:11" x14ac:dyDescent="0.25">
      <c r="B119" s="18"/>
      <c r="C119" s="18"/>
      <c r="D119" s="18"/>
      <c r="E119" s="18"/>
      <c r="F119" s="18"/>
      <c r="G119" s="18"/>
      <c r="H119" s="18"/>
      <c r="I119" s="18"/>
      <c r="J119" s="18"/>
      <c r="K119" s="18"/>
    </row>
    <row r="120" spans="2:11" x14ac:dyDescent="0.25">
      <c r="B120" s="18"/>
      <c r="C120" s="18"/>
      <c r="D120" s="18"/>
      <c r="E120" s="18"/>
      <c r="F120" s="18"/>
      <c r="G120" s="18"/>
      <c r="H120" s="18"/>
      <c r="I120" s="18"/>
      <c r="J120" s="18"/>
      <c r="K120" s="18"/>
    </row>
    <row r="121" spans="2:11" x14ac:dyDescent="0.25">
      <c r="B121" s="18"/>
      <c r="C121" s="18"/>
      <c r="D121" s="18"/>
      <c r="E121" s="18"/>
      <c r="F121" s="18"/>
      <c r="G121" s="18"/>
      <c r="H121" s="18"/>
      <c r="I121" s="18"/>
      <c r="J121" s="18"/>
      <c r="K121" s="18"/>
    </row>
    <row r="122" spans="2:11" x14ac:dyDescent="0.25">
      <c r="B122" s="18"/>
      <c r="C122" s="18"/>
      <c r="D122" s="18"/>
      <c r="E122" s="18"/>
      <c r="F122" s="18"/>
      <c r="G122" s="18"/>
      <c r="H122" s="18"/>
      <c r="I122" s="18"/>
      <c r="J122" s="18"/>
      <c r="K122" s="18"/>
    </row>
  </sheetData>
  <pageMargins left="0.31496062992125984" right="0.31496062992125984" top="0.74803149606299213" bottom="0.35433070866141736" header="0.31496062992125984" footer="0.11811023622047245"/>
  <pageSetup paperSize="9" scale="60" orientation="portrait" r:id="rId1"/>
  <headerFooter>
    <oddFooter>&amp;L&amp;8Bokslut 2017-18/PKQ4/&amp;F/&amp;A
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J36"/>
  <sheetViews>
    <sheetView zoomScale="110" zoomScaleNormal="110" workbookViewId="0">
      <selection activeCell="I27" activeCellId="1" sqref="I22:I23 I27:I28"/>
    </sheetView>
  </sheetViews>
  <sheetFormatPr defaultColWidth="9.140625" defaultRowHeight="12" x14ac:dyDescent="0.2"/>
  <cols>
    <col min="1" max="1" width="35.5703125" style="19" customWidth="1"/>
    <col min="2" max="9" width="11.140625" style="19" customWidth="1"/>
    <col min="10" max="16384" width="9.140625" style="19"/>
  </cols>
  <sheetData>
    <row r="1" spans="1:9" ht="26.25" x14ac:dyDescent="0.4">
      <c r="A1" s="32" t="s">
        <v>0</v>
      </c>
      <c r="B1" s="32"/>
      <c r="C1" s="32"/>
      <c r="D1" s="32"/>
      <c r="E1" s="32"/>
      <c r="F1" s="32"/>
      <c r="G1" s="32"/>
      <c r="H1" s="32"/>
      <c r="I1" s="32"/>
    </row>
    <row r="2" spans="1:9" x14ac:dyDescent="0.2">
      <c r="A2" s="3"/>
      <c r="B2" s="3"/>
      <c r="C2" s="3"/>
      <c r="D2" s="3"/>
      <c r="E2" s="3"/>
      <c r="F2" s="3"/>
      <c r="G2" s="3"/>
      <c r="H2" s="3"/>
      <c r="I2" s="3"/>
    </row>
    <row r="3" spans="1:9" x14ac:dyDescent="0.2">
      <c r="A3" s="3"/>
      <c r="B3" s="3"/>
      <c r="C3" s="3"/>
      <c r="D3" s="3"/>
      <c r="E3" s="3"/>
      <c r="F3" s="3"/>
      <c r="G3" s="3"/>
      <c r="H3" s="3"/>
      <c r="I3" s="3"/>
    </row>
    <row r="4" spans="1:9" x14ac:dyDescent="0.2">
      <c r="A4" s="35" t="s">
        <v>104</v>
      </c>
      <c r="B4" s="8" t="s">
        <v>52</v>
      </c>
      <c r="C4" s="8" t="s">
        <v>53</v>
      </c>
      <c r="D4" s="8" t="s">
        <v>112</v>
      </c>
      <c r="E4" s="8" t="s">
        <v>55</v>
      </c>
      <c r="F4" s="8" t="s">
        <v>52</v>
      </c>
      <c r="G4" s="8" t="s">
        <v>53</v>
      </c>
      <c r="H4" s="8" t="s">
        <v>54</v>
      </c>
      <c r="I4" s="8" t="s">
        <v>55</v>
      </c>
    </row>
    <row r="5" spans="1:9" x14ac:dyDescent="0.2">
      <c r="A5" s="36" t="s">
        <v>6</v>
      </c>
      <c r="B5" s="2">
        <v>2021</v>
      </c>
      <c r="C5" s="2">
        <v>2021</v>
      </c>
      <c r="D5" s="2">
        <v>2021</v>
      </c>
      <c r="E5" s="2">
        <v>2021</v>
      </c>
      <c r="F5" s="2">
        <v>2020</v>
      </c>
      <c r="G5" s="2">
        <v>2020</v>
      </c>
      <c r="H5" s="2">
        <v>2020</v>
      </c>
      <c r="I5" s="2">
        <v>2020</v>
      </c>
    </row>
    <row r="6" spans="1:9" x14ac:dyDescent="0.2">
      <c r="A6" s="37" t="s">
        <v>56</v>
      </c>
      <c r="B6" s="9"/>
      <c r="C6" s="9"/>
      <c r="D6" s="9"/>
      <c r="E6" s="9"/>
      <c r="F6" s="9"/>
      <c r="G6" s="9"/>
      <c r="H6" s="9"/>
      <c r="I6" s="9"/>
    </row>
    <row r="7" spans="1:9" x14ac:dyDescent="0.2">
      <c r="A7" s="38" t="s">
        <v>57</v>
      </c>
      <c r="B7" s="9">
        <f>1200-491</f>
        <v>709</v>
      </c>
      <c r="C7" s="9">
        <f>1207-519</f>
        <v>688</v>
      </c>
      <c r="D7" s="9">
        <f>1266-543</f>
        <v>723</v>
      </c>
      <c r="E7" s="9">
        <f>1269-573</f>
        <v>696</v>
      </c>
      <c r="F7" s="9">
        <f>1273-594</f>
        <v>679</v>
      </c>
      <c r="G7" s="9">
        <f>1310-611</f>
        <v>699</v>
      </c>
      <c r="H7" s="9">
        <f>1340-637</f>
        <v>703</v>
      </c>
      <c r="I7" s="9">
        <f>1405-642</f>
        <v>763</v>
      </c>
    </row>
    <row r="8" spans="1:9" x14ac:dyDescent="0.2">
      <c r="A8" s="38" t="s">
        <v>58</v>
      </c>
      <c r="B8" s="9">
        <v>17969</v>
      </c>
      <c r="C8" s="9">
        <v>18464</v>
      </c>
      <c r="D8" s="9">
        <v>19336</v>
      </c>
      <c r="E8" s="9">
        <v>18215</v>
      </c>
      <c r="F8" s="9">
        <v>18861</v>
      </c>
      <c r="G8" s="9">
        <v>18715</v>
      </c>
      <c r="H8" s="9">
        <v>20644</v>
      </c>
      <c r="I8" s="9">
        <v>17663</v>
      </c>
    </row>
    <row r="9" spans="1:9" x14ac:dyDescent="0.2">
      <c r="A9" s="38" t="s">
        <v>111</v>
      </c>
      <c r="B9" s="9">
        <v>16959</v>
      </c>
      <c r="C9" s="9">
        <v>17153</v>
      </c>
      <c r="D9" s="9">
        <v>16533</v>
      </c>
      <c r="E9" s="9">
        <v>17002</v>
      </c>
      <c r="F9" s="9">
        <v>17264</v>
      </c>
      <c r="G9" s="9">
        <v>17877</v>
      </c>
      <c r="H9" s="9">
        <v>17634</v>
      </c>
      <c r="I9" s="9">
        <v>17382</v>
      </c>
    </row>
    <row r="10" spans="1:9" x14ac:dyDescent="0.2">
      <c r="A10" s="38" t="s">
        <v>59</v>
      </c>
      <c r="B10" s="9">
        <v>8165</v>
      </c>
      <c r="C10" s="9">
        <v>7365</v>
      </c>
      <c r="D10" s="9">
        <v>7333</v>
      </c>
      <c r="E10" s="9">
        <v>6308</v>
      </c>
      <c r="F10" s="9">
        <v>6063</v>
      </c>
      <c r="G10" s="9">
        <v>5726</v>
      </c>
      <c r="H10" s="9">
        <v>5729</v>
      </c>
      <c r="I10" s="9">
        <v>5023</v>
      </c>
    </row>
    <row r="11" spans="1:9" x14ac:dyDescent="0.2">
      <c r="A11" s="36" t="s">
        <v>103</v>
      </c>
      <c r="B11" s="10">
        <f>1021+105</f>
        <v>1126</v>
      </c>
      <c r="C11" s="10">
        <f>983+111</f>
        <v>1094</v>
      </c>
      <c r="D11" s="10">
        <f>976+116</f>
        <v>1092</v>
      </c>
      <c r="E11" s="10">
        <f>1306+123</f>
        <v>1429</v>
      </c>
      <c r="F11" s="10">
        <f>1640+127</f>
        <v>1767</v>
      </c>
      <c r="G11" s="10">
        <f>758+131</f>
        <v>889</v>
      </c>
      <c r="H11" s="10">
        <f>1308+136</f>
        <v>1444</v>
      </c>
      <c r="I11" s="10">
        <f>927+137</f>
        <v>1064</v>
      </c>
    </row>
    <row r="12" spans="1:9" x14ac:dyDescent="0.2">
      <c r="A12" s="39" t="s">
        <v>60</v>
      </c>
      <c r="B12" s="12">
        <f t="shared" ref="B12:I12" si="0">SUM(B7:B11)</f>
        <v>44928</v>
      </c>
      <c r="C12" s="12">
        <f t="shared" si="0"/>
        <v>44764</v>
      </c>
      <c r="D12" s="12">
        <f t="shared" si="0"/>
        <v>45017</v>
      </c>
      <c r="E12" s="12">
        <f t="shared" si="0"/>
        <v>43650</v>
      </c>
      <c r="F12" s="12">
        <f t="shared" si="0"/>
        <v>44634</v>
      </c>
      <c r="G12" s="12">
        <f t="shared" si="0"/>
        <v>43906</v>
      </c>
      <c r="H12" s="12">
        <f t="shared" si="0"/>
        <v>46154</v>
      </c>
      <c r="I12" s="12">
        <f t="shared" si="0"/>
        <v>41895</v>
      </c>
    </row>
    <row r="13" spans="1:9" x14ac:dyDescent="0.2">
      <c r="A13" s="39"/>
      <c r="B13" s="12"/>
      <c r="C13" s="12"/>
      <c r="D13" s="12"/>
      <c r="E13" s="12"/>
      <c r="F13" s="12"/>
      <c r="G13" s="12"/>
      <c r="H13" s="12"/>
      <c r="I13" s="12"/>
    </row>
    <row r="14" spans="1:9" x14ac:dyDescent="0.2">
      <c r="A14" s="38" t="s">
        <v>96</v>
      </c>
      <c r="B14" s="9">
        <v>412</v>
      </c>
      <c r="C14" s="9">
        <v>491</v>
      </c>
      <c r="D14" s="9">
        <v>596</v>
      </c>
      <c r="E14" s="9">
        <v>581</v>
      </c>
      <c r="F14" s="9">
        <v>510</v>
      </c>
      <c r="G14" s="9">
        <v>520</v>
      </c>
      <c r="H14" s="9">
        <v>510</v>
      </c>
      <c r="I14" s="9">
        <v>457</v>
      </c>
    </row>
    <row r="15" spans="1:9" x14ac:dyDescent="0.2">
      <c r="A15" s="38" t="s">
        <v>61</v>
      </c>
      <c r="B15" s="9">
        <v>3104</v>
      </c>
      <c r="C15" s="9">
        <v>2432</v>
      </c>
      <c r="D15" s="9">
        <v>1850</v>
      </c>
      <c r="E15" s="9">
        <v>1398</v>
      </c>
      <c r="F15" s="9">
        <v>1591</v>
      </c>
      <c r="G15" s="9">
        <v>1283</v>
      </c>
      <c r="H15" s="9">
        <v>2041</v>
      </c>
      <c r="I15" s="9">
        <v>2818</v>
      </c>
    </row>
    <row r="16" spans="1:9" x14ac:dyDescent="0.2">
      <c r="A16" s="36" t="s">
        <v>62</v>
      </c>
      <c r="B16" s="10">
        <v>4268</v>
      </c>
      <c r="C16" s="10">
        <v>4424</v>
      </c>
      <c r="D16" s="10">
        <v>4420</v>
      </c>
      <c r="E16" s="10">
        <v>4732</v>
      </c>
      <c r="F16" s="10">
        <v>10231</v>
      </c>
      <c r="G16" s="10">
        <v>6244</v>
      </c>
      <c r="H16" s="10">
        <v>4221</v>
      </c>
      <c r="I16" s="10">
        <v>6599</v>
      </c>
    </row>
    <row r="17" spans="1:10" x14ac:dyDescent="0.2">
      <c r="A17" s="39" t="s">
        <v>63</v>
      </c>
      <c r="B17" s="12">
        <f t="shared" ref="B17" si="1">SUM(B14:B16)</f>
        <v>7784</v>
      </c>
      <c r="C17" s="12">
        <f t="shared" ref="C17:I17" si="2">SUM(C14:C16)</f>
        <v>7347</v>
      </c>
      <c r="D17" s="12">
        <f t="shared" si="2"/>
        <v>6866</v>
      </c>
      <c r="E17" s="12">
        <f t="shared" si="2"/>
        <v>6711</v>
      </c>
      <c r="F17" s="12">
        <f t="shared" si="2"/>
        <v>12332</v>
      </c>
      <c r="G17" s="12">
        <f t="shared" si="2"/>
        <v>8047</v>
      </c>
      <c r="H17" s="12">
        <f t="shared" si="2"/>
        <v>6772</v>
      </c>
      <c r="I17" s="12">
        <f t="shared" si="2"/>
        <v>9874</v>
      </c>
    </row>
    <row r="18" spans="1:10" x14ac:dyDescent="0.2">
      <c r="A18" s="13" t="s">
        <v>64</v>
      </c>
      <c r="B18" s="13">
        <f t="shared" ref="B18" si="3">B12+B17</f>
        <v>52712</v>
      </c>
      <c r="C18" s="13">
        <f t="shared" ref="C18:I18" si="4">C12+C17</f>
        <v>52111</v>
      </c>
      <c r="D18" s="13">
        <f t="shared" si="4"/>
        <v>51883</v>
      </c>
      <c r="E18" s="13">
        <f t="shared" si="4"/>
        <v>50361</v>
      </c>
      <c r="F18" s="13">
        <f t="shared" si="4"/>
        <v>56966</v>
      </c>
      <c r="G18" s="13">
        <f t="shared" si="4"/>
        <v>51953</v>
      </c>
      <c r="H18" s="13">
        <f t="shared" si="4"/>
        <v>52926</v>
      </c>
      <c r="I18" s="13">
        <f t="shared" si="4"/>
        <v>51769</v>
      </c>
    </row>
    <row r="19" spans="1:10" x14ac:dyDescent="0.2">
      <c r="A19" s="3"/>
      <c r="B19" s="3"/>
      <c r="C19" s="3"/>
      <c r="D19" s="3"/>
      <c r="E19" s="3"/>
      <c r="F19" s="3"/>
      <c r="G19" s="3"/>
      <c r="H19" s="3"/>
      <c r="I19" s="3"/>
    </row>
    <row r="20" spans="1:10" x14ac:dyDescent="0.2">
      <c r="A20" s="3" t="s">
        <v>65</v>
      </c>
      <c r="B20" s="3">
        <f>6802-386</f>
        <v>6416</v>
      </c>
      <c r="C20" s="3">
        <f>7017-408</f>
        <v>6609</v>
      </c>
      <c r="D20" s="3">
        <f>8360-427</f>
        <v>7933</v>
      </c>
      <c r="E20" s="3">
        <f>9510-450</f>
        <v>9060</v>
      </c>
      <c r="F20" s="3">
        <f>10490-467</f>
        <v>10023</v>
      </c>
      <c r="G20" s="3">
        <f>-1371-480</f>
        <v>-1851</v>
      </c>
      <c r="H20" s="3">
        <f>-65-501</f>
        <v>-566</v>
      </c>
      <c r="I20" s="3">
        <f>4433-505</f>
        <v>3928</v>
      </c>
    </row>
    <row r="21" spans="1:10" x14ac:dyDescent="0.2">
      <c r="A21" s="3"/>
      <c r="B21" s="3"/>
      <c r="C21" s="3"/>
      <c r="D21" s="3"/>
      <c r="E21" s="3"/>
      <c r="F21" s="3"/>
      <c r="G21" s="3"/>
      <c r="H21" s="3"/>
      <c r="I21" s="3"/>
    </row>
    <row r="22" spans="1:10" x14ac:dyDescent="0.2">
      <c r="A22" s="3" t="s">
        <v>97</v>
      </c>
      <c r="B22" s="3">
        <v>12989</v>
      </c>
      <c r="C22" s="3">
        <v>12617</v>
      </c>
      <c r="D22" s="3">
        <v>13309</v>
      </c>
      <c r="E22" s="3">
        <v>11829</v>
      </c>
      <c r="F22" s="3">
        <v>11219</v>
      </c>
      <c r="G22" s="3">
        <v>14542</v>
      </c>
      <c r="H22" s="3">
        <v>14910</v>
      </c>
      <c r="I22" s="3">
        <v>10543</v>
      </c>
    </row>
    <row r="23" spans="1:10" x14ac:dyDescent="0.2">
      <c r="A23" s="3" t="s">
        <v>98</v>
      </c>
      <c r="B23" s="3">
        <v>13231</v>
      </c>
      <c r="C23" s="3">
        <v>13387</v>
      </c>
      <c r="D23" s="3">
        <v>12590</v>
      </c>
      <c r="E23" s="3">
        <v>12832</v>
      </c>
      <c r="F23" s="3">
        <v>13499</v>
      </c>
      <c r="G23" s="3">
        <v>13379</v>
      </c>
      <c r="H23" s="3">
        <v>14491</v>
      </c>
      <c r="I23" s="3">
        <v>14049</v>
      </c>
    </row>
    <row r="24" spans="1:10" x14ac:dyDescent="0.2">
      <c r="A24" s="3" t="s">
        <v>99</v>
      </c>
      <c r="B24" s="3">
        <v>3812</v>
      </c>
      <c r="C24" s="3">
        <v>3403</v>
      </c>
      <c r="D24" s="3">
        <v>3425</v>
      </c>
      <c r="E24" s="3">
        <v>3322</v>
      </c>
      <c r="F24" s="3">
        <v>3603</v>
      </c>
      <c r="G24" s="3">
        <v>3369</v>
      </c>
      <c r="H24" s="3">
        <v>3614</v>
      </c>
      <c r="I24" s="3">
        <v>4292</v>
      </c>
    </row>
    <row r="25" spans="1:10" x14ac:dyDescent="0.2">
      <c r="A25" s="23" t="s">
        <v>100</v>
      </c>
      <c r="B25" s="23">
        <f>SUM(B22:B24)</f>
        <v>30032</v>
      </c>
      <c r="C25" s="23">
        <f t="shared" ref="C25:I25" si="5">SUM(C22:C24)</f>
        <v>29407</v>
      </c>
      <c r="D25" s="23">
        <f t="shared" si="5"/>
        <v>29324</v>
      </c>
      <c r="E25" s="23">
        <f t="shared" si="5"/>
        <v>27983</v>
      </c>
      <c r="F25" s="23">
        <f>SUM(F22:F24)</f>
        <v>28321</v>
      </c>
      <c r="G25" s="23">
        <f t="shared" si="5"/>
        <v>31290</v>
      </c>
      <c r="H25" s="23">
        <f t="shared" si="5"/>
        <v>33015</v>
      </c>
      <c r="I25" s="23">
        <f t="shared" si="5"/>
        <v>28884</v>
      </c>
      <c r="J25" s="13"/>
    </row>
    <row r="26" spans="1:10" x14ac:dyDescent="0.2">
      <c r="A26" s="13"/>
      <c r="B26" s="3"/>
      <c r="C26" s="3"/>
      <c r="D26" s="3"/>
      <c r="E26" s="3"/>
      <c r="F26" s="3"/>
      <c r="G26" s="3"/>
      <c r="H26" s="3"/>
      <c r="I26" s="3"/>
    </row>
    <row r="27" spans="1:10" x14ac:dyDescent="0.2">
      <c r="A27" s="3" t="s">
        <v>97</v>
      </c>
      <c r="B27" s="3">
        <v>3871</v>
      </c>
      <c r="C27" s="3">
        <v>4442</v>
      </c>
      <c r="D27" s="3">
        <v>3879</v>
      </c>
      <c r="E27" s="3">
        <v>2451</v>
      </c>
      <c r="F27" s="3">
        <v>3773</v>
      </c>
      <c r="G27" s="3">
        <v>6651</v>
      </c>
      <c r="H27" s="3">
        <v>4114</v>
      </c>
      <c r="I27" s="3">
        <v>1967</v>
      </c>
    </row>
    <row r="28" spans="1:10" x14ac:dyDescent="0.2">
      <c r="A28" s="3" t="s">
        <v>98</v>
      </c>
      <c r="B28" s="3">
        <v>2833</v>
      </c>
      <c r="C28" s="3">
        <v>2676</v>
      </c>
      <c r="D28" s="3">
        <v>2544</v>
      </c>
      <c r="E28" s="3">
        <v>2670</v>
      </c>
      <c r="F28" s="3">
        <v>3105</v>
      </c>
      <c r="G28" s="3">
        <v>3201</v>
      </c>
      <c r="H28" s="3">
        <v>3490</v>
      </c>
      <c r="I28" s="3">
        <v>3200</v>
      </c>
    </row>
    <row r="29" spans="1:10" x14ac:dyDescent="0.2">
      <c r="A29" s="3" t="s">
        <v>99</v>
      </c>
      <c r="B29" s="3">
        <v>9560</v>
      </c>
      <c r="C29" s="3">
        <v>8977</v>
      </c>
      <c r="D29" s="3">
        <v>8203</v>
      </c>
      <c r="E29" s="3">
        <v>8197</v>
      </c>
      <c r="F29" s="3">
        <v>11744</v>
      </c>
      <c r="G29" s="3">
        <v>12662</v>
      </c>
      <c r="H29" s="3">
        <v>12873</v>
      </c>
      <c r="I29" s="3">
        <v>13790</v>
      </c>
    </row>
    <row r="30" spans="1:10" x14ac:dyDescent="0.2">
      <c r="A30" s="23" t="s">
        <v>101</v>
      </c>
      <c r="B30" s="23">
        <f t="shared" ref="B30:I30" si="6">SUM(B27:B29)</f>
        <v>16264</v>
      </c>
      <c r="C30" s="23">
        <f t="shared" si="6"/>
        <v>16095</v>
      </c>
      <c r="D30" s="23">
        <f t="shared" si="6"/>
        <v>14626</v>
      </c>
      <c r="E30" s="23">
        <f t="shared" si="6"/>
        <v>13318</v>
      </c>
      <c r="F30" s="23">
        <f t="shared" si="6"/>
        <v>18622</v>
      </c>
      <c r="G30" s="23">
        <f t="shared" si="6"/>
        <v>22514</v>
      </c>
      <c r="H30" s="23">
        <f t="shared" si="6"/>
        <v>20477</v>
      </c>
      <c r="I30" s="23">
        <f t="shared" si="6"/>
        <v>18957</v>
      </c>
    </row>
    <row r="31" spans="1:10" x14ac:dyDescent="0.2">
      <c r="A31" s="13"/>
      <c r="B31" s="3"/>
      <c r="C31" s="3"/>
      <c r="D31" s="3"/>
      <c r="E31" s="3"/>
      <c r="F31" s="3"/>
      <c r="G31" s="3"/>
      <c r="H31" s="3"/>
      <c r="I31" s="3"/>
    </row>
    <row r="32" spans="1:10" x14ac:dyDescent="0.2">
      <c r="A32" s="23" t="s">
        <v>66</v>
      </c>
      <c r="B32" s="23">
        <f t="shared" ref="B32" si="7">B30+B25+B20</f>
        <v>52712</v>
      </c>
      <c r="C32" s="23">
        <f t="shared" ref="C32:I32" si="8">C30+C25+C20</f>
        <v>52111</v>
      </c>
      <c r="D32" s="23">
        <f t="shared" si="8"/>
        <v>51883</v>
      </c>
      <c r="E32" s="23">
        <f t="shared" si="8"/>
        <v>50361</v>
      </c>
      <c r="F32" s="23">
        <f t="shared" si="8"/>
        <v>56966</v>
      </c>
      <c r="G32" s="23">
        <f t="shared" si="8"/>
        <v>51953</v>
      </c>
      <c r="H32" s="23">
        <f t="shared" si="8"/>
        <v>52926</v>
      </c>
      <c r="I32" s="23">
        <f t="shared" si="8"/>
        <v>51769</v>
      </c>
    </row>
    <row r="33" spans="1:9" x14ac:dyDescent="0.2">
      <c r="A33" s="3"/>
      <c r="B33" s="3"/>
      <c r="C33" s="3"/>
      <c r="D33" s="3"/>
      <c r="E33" s="3"/>
      <c r="F33" s="3"/>
      <c r="G33" s="3"/>
      <c r="H33" s="3"/>
      <c r="I33" s="3"/>
    </row>
    <row r="34" spans="1:9" x14ac:dyDescent="0.2">
      <c r="A34" s="3" t="s">
        <v>67</v>
      </c>
      <c r="B34" s="40">
        <v>-0.16</v>
      </c>
      <c r="C34" s="40">
        <v>-0.14000000000000001</v>
      </c>
      <c r="D34" s="40">
        <v>0.04</v>
      </c>
      <c r="E34" s="40">
        <v>0.2</v>
      </c>
      <c r="F34" s="40">
        <v>0.33</v>
      </c>
      <c r="G34" s="40">
        <v>-8.76</v>
      </c>
      <c r="H34" s="40">
        <v>-5.4</v>
      </c>
      <c r="I34" s="40">
        <v>6.35</v>
      </c>
    </row>
    <row r="35" spans="1:9" x14ac:dyDescent="0.2">
      <c r="A35" s="3" t="s">
        <v>68</v>
      </c>
      <c r="B35" s="11">
        <v>12746</v>
      </c>
      <c r="C35" s="11">
        <v>11843</v>
      </c>
      <c r="D35" s="11">
        <v>11548</v>
      </c>
      <c r="E35" s="11">
        <v>10518</v>
      </c>
      <c r="F35" s="11">
        <v>15869</v>
      </c>
      <c r="G35" s="11">
        <v>11614</v>
      </c>
      <c r="H35" s="11">
        <v>9794</v>
      </c>
      <c r="I35" s="11">
        <v>11231</v>
      </c>
    </row>
    <row r="36" spans="1:9" x14ac:dyDescent="0.2">
      <c r="A36" s="3" t="s">
        <v>69</v>
      </c>
      <c r="B36" s="11">
        <f>B22+B23+B27+B28</f>
        <v>32924</v>
      </c>
      <c r="C36" s="11">
        <v>33122</v>
      </c>
      <c r="D36" s="11">
        <v>32322</v>
      </c>
      <c r="E36" s="11">
        <v>29782</v>
      </c>
      <c r="F36" s="11">
        <v>31596</v>
      </c>
      <c r="G36" s="11">
        <v>37773</v>
      </c>
      <c r="H36" s="11">
        <v>37005</v>
      </c>
      <c r="I36" s="11">
        <v>29759</v>
      </c>
    </row>
  </sheetData>
  <pageMargins left="0.31496062992125984" right="0.31496062992125984" top="0.74803149606299213" bottom="0.35433070866141736" header="0.31496062992125984" footer="0.11811023622047245"/>
  <pageSetup paperSize="9" scale="66" orientation="portrait" r:id="rId1"/>
  <headerFooter>
    <oddFooter>&amp;L&amp;8Bokslut 2017-18/PKQ4/&amp;F/&amp;A
Page &amp;P of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39"/>
  <sheetViews>
    <sheetView zoomScaleNormal="100" workbookViewId="0">
      <selection activeCell="B1" sqref="B1:B1048576"/>
    </sheetView>
  </sheetViews>
  <sheetFormatPr defaultColWidth="9.140625" defaultRowHeight="15" x14ac:dyDescent="0.25"/>
  <cols>
    <col min="1" max="1" width="52.85546875" style="19" customWidth="1"/>
    <col min="2" max="6" width="9.140625" style="19" customWidth="1"/>
    <col min="7" max="10" width="9.140625" style="19"/>
    <col min="11" max="11" width="9.140625" style="19" customWidth="1"/>
    <col min="12" max="13" width="8.7109375" style="27" customWidth="1"/>
    <col min="14" max="16384" width="9.140625" style="19"/>
  </cols>
  <sheetData>
    <row r="1" spans="1:13" ht="26.25" x14ac:dyDescent="0.4">
      <c r="A1" s="32" t="s">
        <v>0</v>
      </c>
    </row>
    <row r="3" spans="1:13" x14ac:dyDescent="0.25">
      <c r="L3" s="28"/>
      <c r="M3" s="28"/>
    </row>
    <row r="4" spans="1:13" x14ac:dyDescent="0.25">
      <c r="A4" s="41"/>
      <c r="B4" s="20"/>
      <c r="C4" s="20"/>
      <c r="D4" s="20"/>
      <c r="E4" s="20"/>
      <c r="F4" s="20"/>
      <c r="G4" s="20"/>
      <c r="H4" s="20"/>
      <c r="I4" s="20"/>
      <c r="J4" s="20"/>
      <c r="K4" s="20"/>
    </row>
    <row r="5" spans="1:13" x14ac:dyDescent="0.25">
      <c r="A5" s="42"/>
      <c r="B5" s="21">
        <v>2021</v>
      </c>
      <c r="C5" s="21">
        <v>2021</v>
      </c>
      <c r="D5" s="21">
        <v>2021</v>
      </c>
      <c r="E5" s="21">
        <v>2021</v>
      </c>
      <c r="F5" s="21" t="s">
        <v>108</v>
      </c>
      <c r="G5" s="21">
        <v>2020</v>
      </c>
      <c r="H5" s="21">
        <v>2020</v>
      </c>
      <c r="I5" s="21">
        <v>2020</v>
      </c>
      <c r="J5" s="21">
        <v>2020</v>
      </c>
      <c r="K5" s="21" t="s">
        <v>88</v>
      </c>
    </row>
    <row r="6" spans="1:13" x14ac:dyDescent="0.25">
      <c r="A6" s="41" t="s">
        <v>70</v>
      </c>
      <c r="B6" s="15" t="s">
        <v>4</v>
      </c>
      <c r="C6" s="15" t="s">
        <v>3</v>
      </c>
      <c r="D6" s="15" t="s">
        <v>2</v>
      </c>
      <c r="E6" s="15" t="s">
        <v>5</v>
      </c>
      <c r="F6" s="15" t="s">
        <v>4</v>
      </c>
      <c r="G6" s="15" t="s">
        <v>4</v>
      </c>
      <c r="H6" s="15" t="s">
        <v>3</v>
      </c>
      <c r="I6" s="15" t="s">
        <v>2</v>
      </c>
      <c r="J6" s="15" t="s">
        <v>5</v>
      </c>
      <c r="K6" s="15" t="s">
        <v>4</v>
      </c>
    </row>
    <row r="7" spans="1:13" x14ac:dyDescent="0.25">
      <c r="A7" s="33" t="s">
        <v>6</v>
      </c>
      <c r="B7" s="2" t="s">
        <v>8</v>
      </c>
      <c r="C7" s="2" t="s">
        <v>8</v>
      </c>
      <c r="D7" s="2" t="s">
        <v>7</v>
      </c>
      <c r="E7" s="2" t="s">
        <v>10</v>
      </c>
      <c r="F7" s="2" t="s">
        <v>9</v>
      </c>
      <c r="G7" s="2" t="s">
        <v>8</v>
      </c>
      <c r="H7" s="2" t="s">
        <v>8</v>
      </c>
      <c r="I7" s="2" t="s">
        <v>7</v>
      </c>
      <c r="J7" s="2" t="s">
        <v>10</v>
      </c>
      <c r="K7" s="2" t="s">
        <v>9</v>
      </c>
    </row>
    <row r="8" spans="1:13" x14ac:dyDescent="0.25">
      <c r="A8" s="1" t="s">
        <v>31</v>
      </c>
      <c r="B8" s="3">
        <v>-6525</v>
      </c>
      <c r="C8" s="3">
        <v>-945</v>
      </c>
      <c r="D8" s="3">
        <f>-1358+24</f>
        <v>-1334</v>
      </c>
      <c r="E8" s="3">
        <f>-2361+30</f>
        <v>-2331</v>
      </c>
      <c r="F8" s="3">
        <f>-1936+21</f>
        <v>-1915</v>
      </c>
      <c r="G8" s="3">
        <f>-10151+54</f>
        <v>-10097</v>
      </c>
      <c r="H8" s="9">
        <f>'Income Statement'!E43</f>
        <v>-3252</v>
      </c>
      <c r="I8" s="9">
        <f>'Income Statement'!D43</f>
        <v>-2046</v>
      </c>
      <c r="J8" s="9">
        <f>'Income Statement'!C43</f>
        <v>-3718</v>
      </c>
      <c r="K8" s="3">
        <f>'Income Statement'!B43</f>
        <v>-1081</v>
      </c>
    </row>
    <row r="9" spans="1:13" x14ac:dyDescent="0.25">
      <c r="A9" s="1" t="s">
        <v>71</v>
      </c>
      <c r="B9" s="3">
        <v>4817</v>
      </c>
      <c r="C9" s="3">
        <v>1212</v>
      </c>
      <c r="D9" s="3">
        <f>1198-30</f>
        <v>1168</v>
      </c>
      <c r="E9" s="3">
        <f>1202-30</f>
        <v>1172</v>
      </c>
      <c r="F9" s="3">
        <f>1295-30</f>
        <v>1265</v>
      </c>
      <c r="G9" s="3">
        <f>6822-119</f>
        <v>6703</v>
      </c>
      <c r="H9" s="15">
        <f>1597-32</f>
        <v>1565</v>
      </c>
      <c r="I9" s="15">
        <f>2448-29</f>
        <v>2419</v>
      </c>
      <c r="J9" s="15">
        <f>1408-29</f>
        <v>1379</v>
      </c>
      <c r="K9" s="3">
        <f>499.9+868.9-29</f>
        <v>1339.8</v>
      </c>
    </row>
    <row r="10" spans="1:13" x14ac:dyDescent="0.25">
      <c r="A10" s="1" t="s">
        <v>72</v>
      </c>
      <c r="B10" s="3">
        <v>143</v>
      </c>
      <c r="C10" s="3">
        <v>34</v>
      </c>
      <c r="D10" s="3">
        <v>121</v>
      </c>
      <c r="E10" s="3">
        <v>0</v>
      </c>
      <c r="F10" s="3">
        <v>-12</v>
      </c>
      <c r="G10" s="3">
        <v>-2</v>
      </c>
      <c r="H10" s="15">
        <v>-3</v>
      </c>
      <c r="I10" s="15">
        <v>1</v>
      </c>
      <c r="J10" s="15">
        <v>0</v>
      </c>
      <c r="K10" s="3">
        <v>0</v>
      </c>
    </row>
    <row r="11" spans="1:13" x14ac:dyDescent="0.25">
      <c r="A11" s="24" t="s">
        <v>73</v>
      </c>
      <c r="B11" s="3">
        <v>-515</v>
      </c>
      <c r="C11" s="3">
        <v>115</v>
      </c>
      <c r="D11" s="3">
        <v>46</v>
      </c>
      <c r="E11" s="3">
        <v>-74</v>
      </c>
      <c r="F11" s="3">
        <v>-602</v>
      </c>
      <c r="G11" s="3">
        <v>-82</v>
      </c>
      <c r="H11" s="15">
        <v>111</v>
      </c>
      <c r="I11" s="15">
        <v>-1261</v>
      </c>
      <c r="J11" s="15">
        <v>1063</v>
      </c>
      <c r="K11" s="3">
        <v>5.4</v>
      </c>
    </row>
    <row r="12" spans="1:13" x14ac:dyDescent="0.25">
      <c r="A12" s="33" t="s">
        <v>74</v>
      </c>
      <c r="B12" s="4">
        <v>-2</v>
      </c>
      <c r="C12" s="4">
        <v>0</v>
      </c>
      <c r="D12" s="4">
        <v>0</v>
      </c>
      <c r="E12" s="4">
        <v>0</v>
      </c>
      <c r="F12" s="4">
        <v>-2</v>
      </c>
      <c r="G12" s="4">
        <v>-18</v>
      </c>
      <c r="H12" s="2">
        <v>-1</v>
      </c>
      <c r="I12" s="2">
        <v>0</v>
      </c>
      <c r="J12" s="2">
        <v>0</v>
      </c>
      <c r="K12" s="4">
        <v>-16.899999999999999</v>
      </c>
    </row>
    <row r="13" spans="1:13" x14ac:dyDescent="0.25">
      <c r="A13" s="30" t="s">
        <v>75</v>
      </c>
      <c r="B13" s="13">
        <f t="shared" ref="B13:C13" si="0">SUM(B8:B12)</f>
        <v>-2082</v>
      </c>
      <c r="C13" s="13">
        <f t="shared" si="0"/>
        <v>416</v>
      </c>
      <c r="D13" s="13">
        <f t="shared" ref="D13:F13" si="1">SUM(D8:D12)</f>
        <v>1</v>
      </c>
      <c r="E13" s="13">
        <f t="shared" si="1"/>
        <v>-1233</v>
      </c>
      <c r="F13" s="13">
        <f t="shared" si="1"/>
        <v>-1266</v>
      </c>
      <c r="G13" s="13">
        <f t="shared" ref="G13:H13" si="2">SUM(G8:G12)</f>
        <v>-3496</v>
      </c>
      <c r="H13" s="13">
        <f t="shared" si="2"/>
        <v>-1580</v>
      </c>
      <c r="I13" s="13">
        <f>SUM(I8:I12)</f>
        <v>-887</v>
      </c>
      <c r="J13" s="13">
        <f>SUM(J8:J12)</f>
        <v>-1276</v>
      </c>
      <c r="K13" s="13">
        <f>SUM(K8:K12)</f>
        <v>247.29999999999993</v>
      </c>
    </row>
    <row r="14" spans="1:13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</row>
    <row r="15" spans="1:13" x14ac:dyDescent="0.25">
      <c r="A15" s="33" t="s">
        <v>76</v>
      </c>
      <c r="B15" s="4">
        <v>-2653</v>
      </c>
      <c r="C15" s="4">
        <v>659</v>
      </c>
      <c r="D15" s="4">
        <v>538</v>
      </c>
      <c r="E15" s="4">
        <v>-170</v>
      </c>
      <c r="F15" s="4">
        <v>-3680</v>
      </c>
      <c r="G15" s="4">
        <v>-1680</v>
      </c>
      <c r="H15" s="4">
        <v>-1381</v>
      </c>
      <c r="I15" s="4">
        <v>-78</v>
      </c>
      <c r="J15" s="4">
        <v>-506</v>
      </c>
      <c r="K15" s="4">
        <v>285</v>
      </c>
    </row>
    <row r="16" spans="1:13" x14ac:dyDescent="0.25">
      <c r="A16" s="30" t="s">
        <v>77</v>
      </c>
      <c r="B16" s="13">
        <f t="shared" ref="B16:C16" si="3">B13+B15</f>
        <v>-4735</v>
      </c>
      <c r="C16" s="13">
        <f t="shared" si="3"/>
        <v>1075</v>
      </c>
      <c r="D16" s="13">
        <f t="shared" ref="D16:F16" si="4">D13+D15</f>
        <v>539</v>
      </c>
      <c r="E16" s="13">
        <f t="shared" si="4"/>
        <v>-1403</v>
      </c>
      <c r="F16" s="13">
        <f t="shared" si="4"/>
        <v>-4946</v>
      </c>
      <c r="G16" s="13">
        <f t="shared" ref="G16:H16" si="5">G13+G15</f>
        <v>-5176</v>
      </c>
      <c r="H16" s="13">
        <f t="shared" si="5"/>
        <v>-2961</v>
      </c>
      <c r="I16" s="13">
        <f>I13+I15</f>
        <v>-965</v>
      </c>
      <c r="J16" s="13">
        <f>J13+J15</f>
        <v>-1782</v>
      </c>
      <c r="K16" s="13">
        <f>K13+K15</f>
        <v>532.29999999999995</v>
      </c>
    </row>
    <row r="17" spans="1:11" x14ac:dyDescent="0.25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1" x14ac:dyDescent="0.25">
      <c r="A18" s="1" t="s">
        <v>78</v>
      </c>
      <c r="B18" s="3">
        <v>-4104</v>
      </c>
      <c r="C18" s="3">
        <v>-363</v>
      </c>
      <c r="D18" s="3">
        <f>-1388+6</f>
        <v>-1382</v>
      </c>
      <c r="E18" s="3">
        <v>-1584</v>
      </c>
      <c r="F18" s="3">
        <f>-784+9</f>
        <v>-775</v>
      </c>
      <c r="G18" s="3">
        <f>-7618+65</f>
        <v>-7553</v>
      </c>
      <c r="H18" s="3">
        <f>-308+13</f>
        <v>-295</v>
      </c>
      <c r="I18" s="3">
        <f>-1439+4</f>
        <v>-1435</v>
      </c>
      <c r="J18" s="3">
        <f>-3333+25</f>
        <v>-3308</v>
      </c>
      <c r="K18" s="3">
        <f>-2537.5+23</f>
        <v>-2514.5</v>
      </c>
    </row>
    <row r="19" spans="1:11" x14ac:dyDescent="0.25">
      <c r="A19" s="1" t="s">
        <v>105</v>
      </c>
      <c r="B19" s="3">
        <v>-1</v>
      </c>
      <c r="C19" s="3">
        <v>0</v>
      </c>
      <c r="D19" s="3">
        <v>0</v>
      </c>
      <c r="E19" s="3">
        <v>-1</v>
      </c>
      <c r="F19" s="3">
        <v>0</v>
      </c>
      <c r="G19" s="3">
        <v>-4</v>
      </c>
      <c r="H19" s="3">
        <v>0</v>
      </c>
      <c r="I19" s="3">
        <v>-4</v>
      </c>
      <c r="J19" s="3">
        <v>0</v>
      </c>
      <c r="K19" s="3">
        <v>0</v>
      </c>
    </row>
    <row r="20" spans="1:11" x14ac:dyDescent="0.25">
      <c r="A20" s="1" t="s">
        <v>79</v>
      </c>
      <c r="B20" s="3">
        <v>0</v>
      </c>
      <c r="C20" s="3">
        <v>0</v>
      </c>
      <c r="D20" s="3">
        <v>0</v>
      </c>
      <c r="E20" s="3">
        <v>0</v>
      </c>
      <c r="F20" s="3">
        <v>0</v>
      </c>
      <c r="G20" s="3">
        <v>0</v>
      </c>
      <c r="H20" s="3">
        <v>0</v>
      </c>
      <c r="I20" s="3">
        <v>0</v>
      </c>
      <c r="J20" s="3">
        <v>0</v>
      </c>
      <c r="K20" s="3"/>
    </row>
    <row r="21" spans="1:11" x14ac:dyDescent="0.25">
      <c r="A21" s="33" t="s">
        <v>80</v>
      </c>
      <c r="B21" s="4">
        <v>2568</v>
      </c>
      <c r="C21" s="4">
        <v>429</v>
      </c>
      <c r="D21" s="4">
        <v>1810</v>
      </c>
      <c r="E21" s="4">
        <v>66</v>
      </c>
      <c r="F21" s="4">
        <v>263</v>
      </c>
      <c r="G21" s="4">
        <v>370</v>
      </c>
      <c r="H21" s="4">
        <v>28</v>
      </c>
      <c r="I21" s="4">
        <v>388</v>
      </c>
      <c r="J21" s="4">
        <v>31</v>
      </c>
      <c r="K21" s="4">
        <v>-77</v>
      </c>
    </row>
    <row r="22" spans="1:11" x14ac:dyDescent="0.25">
      <c r="A22" s="30" t="s">
        <v>81</v>
      </c>
      <c r="B22" s="13">
        <f>SUM(B18:B21)+B16</f>
        <v>-6272</v>
      </c>
      <c r="C22" s="13">
        <f t="shared" ref="C22" si="6">SUM(C18:C21)+C16</f>
        <v>1141</v>
      </c>
      <c r="D22" s="13">
        <f>SUM(D18:D21)+D16</f>
        <v>967</v>
      </c>
      <c r="E22" s="13">
        <f>SUM(E18:E21)+E16</f>
        <v>-2922</v>
      </c>
      <c r="F22" s="13">
        <f>SUM(F18:F21)+F16</f>
        <v>-5458</v>
      </c>
      <c r="G22" s="13">
        <f t="shared" ref="G22:H22" si="7">SUM(G18:G21)+G16</f>
        <v>-12363</v>
      </c>
      <c r="H22" s="13">
        <f t="shared" si="7"/>
        <v>-3228</v>
      </c>
      <c r="I22" s="13">
        <f>SUM(I18:I21)+I16</f>
        <v>-2016</v>
      </c>
      <c r="J22" s="13">
        <f>SUM(J18:J21)+J16</f>
        <v>-5059</v>
      </c>
      <c r="K22" s="13">
        <f>SUM(K18:K21)+K16</f>
        <v>-2059.1999999999998</v>
      </c>
    </row>
    <row r="23" spans="1:11" x14ac:dyDescent="0.25">
      <c r="A23" s="1"/>
      <c r="B23" s="3"/>
      <c r="C23" s="3"/>
      <c r="D23" s="3"/>
      <c r="E23" s="3"/>
      <c r="F23" s="3"/>
      <c r="G23" s="3"/>
      <c r="H23" s="3"/>
      <c r="I23" s="3"/>
      <c r="J23" s="3"/>
      <c r="K23" s="3"/>
    </row>
    <row r="24" spans="1:11" x14ac:dyDescent="0.25">
      <c r="A24" s="1" t="s">
        <v>82</v>
      </c>
      <c r="B24" s="3">
        <v>0</v>
      </c>
      <c r="C24" s="3">
        <v>0</v>
      </c>
      <c r="D24" s="3">
        <v>0</v>
      </c>
      <c r="E24" s="3">
        <v>0</v>
      </c>
      <c r="F24" s="3">
        <v>0</v>
      </c>
      <c r="G24" s="3">
        <v>6000</v>
      </c>
      <c r="H24" s="3">
        <v>6000</v>
      </c>
      <c r="I24" s="3">
        <v>0</v>
      </c>
      <c r="J24" s="3">
        <v>0</v>
      </c>
      <c r="K24" s="3">
        <v>0</v>
      </c>
    </row>
    <row r="25" spans="1:11" x14ac:dyDescent="0.25">
      <c r="A25" s="1" t="s">
        <v>83</v>
      </c>
      <c r="B25" s="3">
        <v>0</v>
      </c>
      <c r="C25" s="3">
        <v>0</v>
      </c>
      <c r="D25" s="3">
        <v>0</v>
      </c>
      <c r="E25" s="3">
        <v>0</v>
      </c>
      <c r="F25" s="3">
        <v>0</v>
      </c>
      <c r="G25" s="3">
        <v>5910</v>
      </c>
      <c r="H25" s="3">
        <v>5910</v>
      </c>
      <c r="I25" s="3">
        <v>0</v>
      </c>
      <c r="J25" s="3">
        <v>0</v>
      </c>
      <c r="K25" s="3">
        <v>0</v>
      </c>
    </row>
    <row r="26" spans="1:11" x14ac:dyDescent="0.25">
      <c r="A26" s="24" t="s">
        <v>102</v>
      </c>
      <c r="B26" s="9">
        <v>-2809</v>
      </c>
      <c r="C26" s="9">
        <v>-612</v>
      </c>
      <c r="D26" s="9">
        <v>-611</v>
      </c>
      <c r="E26" s="9">
        <v>-728</v>
      </c>
      <c r="F26" s="9">
        <v>-875</v>
      </c>
      <c r="G26" s="9">
        <v>-3082</v>
      </c>
      <c r="H26" s="9">
        <v>-856</v>
      </c>
      <c r="I26" s="9">
        <v>-725</v>
      </c>
      <c r="J26" s="9">
        <v>-665</v>
      </c>
      <c r="K26" s="17">
        <v>-836</v>
      </c>
    </row>
    <row r="27" spans="1:11" x14ac:dyDescent="0.25">
      <c r="A27" s="24" t="s">
        <v>84</v>
      </c>
      <c r="B27" s="17">
        <f>5319-2562-274+634</f>
        <v>3117</v>
      </c>
      <c r="C27" s="17">
        <f>719-964-138-302</f>
        <v>-685</v>
      </c>
      <c r="D27" s="17">
        <v>-352</v>
      </c>
      <c r="E27" s="17">
        <v>3337</v>
      </c>
      <c r="F27" s="17">
        <v>834</v>
      </c>
      <c r="G27" s="17">
        <v>5007</v>
      </c>
      <c r="H27" s="17">
        <v>-3838</v>
      </c>
      <c r="I27" s="17">
        <v>4764</v>
      </c>
      <c r="J27" s="17">
        <v>3349</v>
      </c>
      <c r="K27" s="17">
        <f>1415-250-433</f>
        <v>732</v>
      </c>
    </row>
    <row r="28" spans="1:11" x14ac:dyDescent="0.25">
      <c r="A28" s="25" t="s">
        <v>85</v>
      </c>
      <c r="B28" s="23">
        <f t="shared" ref="B28:C28" si="8">SUM(B22:B27)</f>
        <v>-5964</v>
      </c>
      <c r="C28" s="23">
        <f t="shared" si="8"/>
        <v>-156</v>
      </c>
      <c r="D28" s="23">
        <f t="shared" ref="D28:K28" si="9">SUM(D22:D27)</f>
        <v>4</v>
      </c>
      <c r="E28" s="23">
        <f t="shared" si="9"/>
        <v>-313</v>
      </c>
      <c r="F28" s="23">
        <f t="shared" si="9"/>
        <v>-5499</v>
      </c>
      <c r="G28" s="23">
        <f t="shared" si="9"/>
        <v>1472</v>
      </c>
      <c r="H28" s="23">
        <f t="shared" si="9"/>
        <v>3988</v>
      </c>
      <c r="I28" s="23">
        <f t="shared" si="9"/>
        <v>2023</v>
      </c>
      <c r="J28" s="23">
        <f t="shared" si="9"/>
        <v>-2375</v>
      </c>
      <c r="K28" s="23">
        <f t="shared" si="9"/>
        <v>-2163.1999999999998</v>
      </c>
    </row>
    <row r="29" spans="1:11" x14ac:dyDescent="0.2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1" x14ac:dyDescent="0.25">
      <c r="A30" s="33" t="s">
        <v>86</v>
      </c>
      <c r="B30" s="4">
        <v>1</v>
      </c>
      <c r="C30" s="4">
        <v>0</v>
      </c>
      <c r="D30" s="4">
        <v>0</v>
      </c>
      <c r="E30" s="4">
        <v>1</v>
      </c>
      <c r="F30" s="4">
        <v>0</v>
      </c>
      <c r="G30" s="4">
        <v>-4</v>
      </c>
      <c r="H30" s="4">
        <v>-1</v>
      </c>
      <c r="I30" s="4">
        <v>0</v>
      </c>
      <c r="J30" s="4">
        <v>-3</v>
      </c>
      <c r="K30" s="4">
        <v>0</v>
      </c>
    </row>
    <row r="31" spans="1:11" x14ac:dyDescent="0.25">
      <c r="A31" s="30" t="s">
        <v>87</v>
      </c>
      <c r="B31" s="13">
        <f>SUM(B28:B30)</f>
        <v>-5963</v>
      </c>
      <c r="C31" s="13">
        <f>SUM(C28:C30)</f>
        <v>-156</v>
      </c>
      <c r="D31" s="13">
        <f t="shared" ref="D31:F31" si="10">SUM(D28:D30)</f>
        <v>4</v>
      </c>
      <c r="E31" s="13">
        <f t="shared" si="10"/>
        <v>-312</v>
      </c>
      <c r="F31" s="13">
        <f t="shared" si="10"/>
        <v>-5499</v>
      </c>
      <c r="G31" s="13">
        <f t="shared" ref="G31:H31" si="11">SUM(G28:G30)</f>
        <v>1468</v>
      </c>
      <c r="H31" s="13">
        <f t="shared" si="11"/>
        <v>3987</v>
      </c>
      <c r="I31" s="13">
        <f>SUM(I28:I30)</f>
        <v>2023</v>
      </c>
      <c r="J31" s="13">
        <f>SUM(J28:J30)</f>
        <v>-2378</v>
      </c>
      <c r="K31" s="13">
        <f>SUM(K28:K30)</f>
        <v>-2163.1999999999998</v>
      </c>
    </row>
    <row r="34" spans="2:11" x14ac:dyDescent="0.25">
      <c r="B34" s="26"/>
      <c r="C34" s="26"/>
      <c r="D34" s="26"/>
      <c r="E34" s="26"/>
      <c r="F34" s="26"/>
      <c r="G34" s="26"/>
      <c r="H34" s="26"/>
      <c r="I34" s="26"/>
      <c r="J34" s="26"/>
      <c r="K34" s="26"/>
    </row>
    <row r="35" spans="2:11" x14ac:dyDescent="0.25">
      <c r="B35" s="26"/>
      <c r="C35" s="26"/>
      <c r="D35" s="26"/>
      <c r="E35" s="26"/>
      <c r="F35" s="26"/>
      <c r="G35" s="26"/>
      <c r="H35" s="26"/>
      <c r="I35" s="26"/>
      <c r="J35" s="26"/>
      <c r="K35" s="26"/>
    </row>
    <row r="36" spans="2:11" x14ac:dyDescent="0.25">
      <c r="B36" s="26"/>
      <c r="C36" s="26"/>
      <c r="D36" s="26"/>
      <c r="E36" s="26"/>
      <c r="F36" s="26"/>
      <c r="G36" s="26"/>
      <c r="H36" s="26"/>
      <c r="I36" s="26"/>
      <c r="J36" s="26"/>
      <c r="K36" s="26"/>
    </row>
    <row r="38" spans="2:11" x14ac:dyDescent="0.25">
      <c r="B38" s="26"/>
      <c r="C38" s="26"/>
      <c r="D38" s="26"/>
      <c r="E38" s="26"/>
      <c r="F38" s="26"/>
      <c r="G38" s="26"/>
      <c r="H38" s="26"/>
      <c r="I38" s="26"/>
      <c r="J38" s="26"/>
      <c r="K38" s="26"/>
    </row>
    <row r="39" spans="2:11" x14ac:dyDescent="0.25">
      <c r="B39" s="26"/>
      <c r="C39" s="26"/>
      <c r="D39" s="26"/>
      <c r="E39" s="26"/>
      <c r="F39" s="26"/>
      <c r="G39" s="26"/>
      <c r="H39" s="26"/>
      <c r="I39" s="26"/>
      <c r="J39" s="26"/>
      <c r="K39" s="26"/>
    </row>
  </sheetData>
  <pageMargins left="0.31496062992125984" right="0.31496062992125984" top="0.74803149606299213" bottom="0.35433070866141736" header="0.31496062992125984" footer="0.11811023622047245"/>
  <pageSetup paperSize="9" scale="59" orientation="portrait" r:id="rId1"/>
  <headerFooter>
    <oddFooter>&amp;L&amp;8Bokslut 2017-18/PKQ4/&amp;F/&amp;A
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2F1C4-F2B0-4C49-8F20-CED5644E5A93}">
  <dimension ref="A1:U61"/>
  <sheetViews>
    <sheetView tabSelected="1" workbookViewId="0">
      <selection activeCell="X17" sqref="X17"/>
    </sheetView>
  </sheetViews>
  <sheetFormatPr defaultRowHeight="15" x14ac:dyDescent="0.25"/>
  <cols>
    <col min="1" max="1" width="32" bestFit="1" customWidth="1"/>
    <col min="2" max="4" width="9.5703125" bestFit="1" customWidth="1"/>
    <col min="5" max="5" width="3.28515625" customWidth="1"/>
    <col min="6" max="8" width="9.5703125" bestFit="1" customWidth="1"/>
    <col min="9" max="9" width="3.42578125" customWidth="1"/>
    <col min="10" max="11" width="9.5703125" bestFit="1" customWidth="1"/>
    <col min="13" max="13" width="2.7109375" customWidth="1"/>
    <col min="14" max="16" width="9.5703125" bestFit="1" customWidth="1"/>
    <col min="17" max="17" width="2.7109375" customWidth="1"/>
    <col min="18" max="19" width="9.5703125" bestFit="1" customWidth="1"/>
  </cols>
  <sheetData>
    <row r="1" spans="1:21" x14ac:dyDescent="0.25">
      <c r="A1" s="44"/>
      <c r="B1" s="44"/>
      <c r="C1" s="44"/>
      <c r="D1" s="45"/>
      <c r="E1" s="73"/>
      <c r="F1" s="73"/>
      <c r="G1" s="44"/>
      <c r="H1" s="45"/>
      <c r="I1" s="73"/>
      <c r="J1" s="73"/>
      <c r="K1" s="44"/>
      <c r="L1" s="44"/>
      <c r="M1" s="73"/>
      <c r="N1" s="73"/>
      <c r="O1" s="45"/>
      <c r="P1" s="44"/>
      <c r="Q1" s="73"/>
      <c r="R1" s="73"/>
      <c r="S1" s="44"/>
      <c r="T1" s="44"/>
      <c r="U1" s="44"/>
    </row>
    <row r="2" spans="1:21" x14ac:dyDescent="0.25">
      <c r="A2" s="44"/>
      <c r="B2" s="44"/>
      <c r="C2" s="44"/>
      <c r="D2" s="45"/>
      <c r="E2" s="73"/>
      <c r="F2" s="73"/>
      <c r="G2" s="44"/>
      <c r="H2" s="45"/>
      <c r="I2" s="73"/>
      <c r="J2" s="73"/>
      <c r="K2" s="44"/>
      <c r="L2" s="44"/>
      <c r="M2" s="73"/>
      <c r="N2" s="73"/>
      <c r="O2" s="45"/>
      <c r="P2" s="44"/>
      <c r="Q2" s="44"/>
      <c r="R2" s="44" t="s">
        <v>113</v>
      </c>
      <c r="S2" s="44" t="s">
        <v>113</v>
      </c>
      <c r="T2" s="44"/>
      <c r="U2" s="44"/>
    </row>
    <row r="3" spans="1:21" ht="18.75" x14ac:dyDescent="0.3">
      <c r="A3" s="46" t="s">
        <v>114</v>
      </c>
      <c r="B3" s="47" t="s">
        <v>108</v>
      </c>
      <c r="C3" s="47" t="s">
        <v>88</v>
      </c>
      <c r="D3" s="49"/>
      <c r="E3" s="44"/>
      <c r="F3" s="47" t="s">
        <v>108</v>
      </c>
      <c r="G3" s="47" t="s">
        <v>88</v>
      </c>
      <c r="H3" s="49"/>
      <c r="I3" s="44"/>
      <c r="J3" s="47" t="s">
        <v>108</v>
      </c>
      <c r="K3" s="47" t="s">
        <v>88</v>
      </c>
      <c r="L3" s="49"/>
      <c r="M3" s="44"/>
      <c r="N3" s="47" t="s">
        <v>108</v>
      </c>
      <c r="O3" s="47" t="s">
        <v>88</v>
      </c>
      <c r="P3" s="47"/>
      <c r="Q3" s="47"/>
      <c r="R3" s="47" t="s">
        <v>108</v>
      </c>
      <c r="S3" s="47" t="s">
        <v>88</v>
      </c>
      <c r="T3" s="44"/>
      <c r="U3" s="44"/>
    </row>
    <row r="4" spans="1:21" ht="18.75" x14ac:dyDescent="0.3">
      <c r="A4" s="48"/>
      <c r="B4" s="51" t="s">
        <v>3</v>
      </c>
      <c r="C4" s="51" t="s">
        <v>3</v>
      </c>
      <c r="D4" s="49"/>
      <c r="E4" s="44"/>
      <c r="F4" s="51" t="s">
        <v>2</v>
      </c>
      <c r="G4" s="51" t="s">
        <v>2</v>
      </c>
      <c r="H4" s="49"/>
      <c r="I4" s="44"/>
      <c r="J4" s="51" t="s">
        <v>5</v>
      </c>
      <c r="K4" s="51" t="s">
        <v>5</v>
      </c>
      <c r="L4" s="49"/>
      <c r="M4" s="44"/>
      <c r="N4" s="51" t="s">
        <v>4</v>
      </c>
      <c r="O4" s="51" t="s">
        <v>4</v>
      </c>
      <c r="P4" s="44"/>
      <c r="Q4" s="44"/>
      <c r="R4" s="51" t="s">
        <v>4</v>
      </c>
      <c r="S4" s="51" t="s">
        <v>4</v>
      </c>
      <c r="T4" s="44"/>
      <c r="U4" s="44"/>
    </row>
    <row r="5" spans="1:21" x14ac:dyDescent="0.25">
      <c r="A5" s="52" t="s">
        <v>115</v>
      </c>
      <c r="B5" s="47" t="s">
        <v>8</v>
      </c>
      <c r="C5" s="47" t="s">
        <v>8</v>
      </c>
      <c r="D5" s="54"/>
      <c r="E5" s="44"/>
      <c r="F5" s="47" t="s">
        <v>7</v>
      </c>
      <c r="G5" s="47" t="s">
        <v>7</v>
      </c>
      <c r="H5" s="54"/>
      <c r="I5" s="44"/>
      <c r="J5" s="47" t="s">
        <v>10</v>
      </c>
      <c r="K5" s="47" t="s">
        <v>10</v>
      </c>
      <c r="L5" s="54"/>
      <c r="M5" s="44"/>
      <c r="N5" s="47" t="s">
        <v>9</v>
      </c>
      <c r="O5" s="47" t="s">
        <v>9</v>
      </c>
      <c r="P5" s="44"/>
      <c r="Q5" s="44"/>
      <c r="R5" s="47" t="s">
        <v>8</v>
      </c>
      <c r="S5" s="47" t="s">
        <v>8</v>
      </c>
      <c r="T5" s="44"/>
      <c r="U5" s="44"/>
    </row>
    <row r="6" spans="1:21" x14ac:dyDescent="0.25">
      <c r="A6" s="55" t="s">
        <v>21</v>
      </c>
      <c r="B6" s="56">
        <f>'Income Statement'!J24+'Income Statement'!J34</f>
        <v>-5812</v>
      </c>
      <c r="C6" s="57">
        <f>'Income Statement'!E24+'Income Statement'!E34</f>
        <v>-5317</v>
      </c>
      <c r="D6" s="54"/>
      <c r="E6" s="44"/>
      <c r="F6" s="56">
        <v>-4330</v>
      </c>
      <c r="G6" s="56">
        <v>-3716</v>
      </c>
      <c r="H6" s="54"/>
      <c r="I6" s="44"/>
      <c r="J6" s="56">
        <v>-3577</v>
      </c>
      <c r="K6" s="56">
        <v>-8067</v>
      </c>
      <c r="L6" s="54"/>
      <c r="M6" s="44"/>
      <c r="N6" s="56">
        <v>-4048</v>
      </c>
      <c r="O6" s="57">
        <v>-9914</v>
      </c>
      <c r="P6" s="44"/>
      <c r="Q6" s="44"/>
      <c r="R6" s="56">
        <v>-11955</v>
      </c>
      <c r="S6" s="56">
        <v>-21697</v>
      </c>
      <c r="T6" s="44"/>
      <c r="U6" s="44"/>
    </row>
    <row r="7" spans="1:21" x14ac:dyDescent="0.25">
      <c r="A7" s="55" t="s">
        <v>116</v>
      </c>
      <c r="B7" s="56">
        <f>'Income Statement'!J29</f>
        <v>-3</v>
      </c>
      <c r="C7" s="57">
        <f>'Income Statement'!E29</f>
        <v>15</v>
      </c>
      <c r="D7" s="54"/>
      <c r="E7" s="44"/>
      <c r="F7" s="44">
        <v>2</v>
      </c>
      <c r="G7" s="44">
        <v>0</v>
      </c>
      <c r="H7" s="54"/>
      <c r="I7" s="44"/>
      <c r="J7" s="44">
        <v>-1</v>
      </c>
      <c r="K7" s="44">
        <v>-18</v>
      </c>
      <c r="L7" s="54"/>
      <c r="M7" s="44"/>
      <c r="N7" s="44">
        <v>28</v>
      </c>
      <c r="O7" s="45">
        <v>-62</v>
      </c>
      <c r="P7" s="44"/>
      <c r="Q7" s="44"/>
      <c r="R7" s="44">
        <v>29</v>
      </c>
      <c r="S7" s="44">
        <v>-80</v>
      </c>
      <c r="T7" s="44"/>
      <c r="U7" s="44"/>
    </row>
    <row r="8" spans="1:21" x14ac:dyDescent="0.25">
      <c r="A8" s="55" t="s">
        <v>117</v>
      </c>
      <c r="B8" s="56">
        <f>'Income Statement'!J32+'Income Statement'!J33</f>
        <v>-389</v>
      </c>
      <c r="C8" s="57">
        <f>'Income Statement'!E32+'Income Statement'!E33</f>
        <v>-458</v>
      </c>
      <c r="D8" s="54"/>
      <c r="E8" s="44"/>
      <c r="F8" s="44">
        <v>-412</v>
      </c>
      <c r="G8" s="56">
        <v>-1520</v>
      </c>
      <c r="H8" s="54"/>
      <c r="I8" s="44"/>
      <c r="J8" s="44">
        <v>-405</v>
      </c>
      <c r="K8" s="44">
        <v>-495</v>
      </c>
      <c r="L8" s="54"/>
      <c r="M8" s="44"/>
      <c r="N8" s="44">
        <v>-447</v>
      </c>
      <c r="O8" s="45">
        <v>-500</v>
      </c>
      <c r="P8" s="44"/>
      <c r="Q8" s="44"/>
      <c r="R8" s="56">
        <v>-1264</v>
      </c>
      <c r="S8" s="56">
        <v>-2515</v>
      </c>
      <c r="T8" s="44"/>
      <c r="U8" s="44"/>
    </row>
    <row r="9" spans="1:21" x14ac:dyDescent="0.25">
      <c r="A9" s="58" t="s">
        <v>14</v>
      </c>
      <c r="B9" s="62">
        <f>'Income Statement'!J11</f>
        <v>651</v>
      </c>
      <c r="C9" s="61">
        <f>'Income Statement'!E11</f>
        <v>605</v>
      </c>
      <c r="D9" s="54"/>
      <c r="E9" s="44"/>
      <c r="F9" s="59">
        <v>730</v>
      </c>
      <c r="G9" s="59">
        <v>708</v>
      </c>
      <c r="H9" s="54"/>
      <c r="I9" s="44"/>
      <c r="J9" s="59">
        <v>468</v>
      </c>
      <c r="K9" s="59">
        <v>888</v>
      </c>
      <c r="L9" s="54"/>
      <c r="M9" s="44"/>
      <c r="N9" s="59">
        <v>545</v>
      </c>
      <c r="O9" s="61">
        <v>1110</v>
      </c>
      <c r="P9" s="44"/>
      <c r="Q9" s="44"/>
      <c r="R9" s="62">
        <v>1743</v>
      </c>
      <c r="S9" s="62">
        <v>2706</v>
      </c>
      <c r="T9" s="44"/>
      <c r="U9" s="44"/>
    </row>
    <row r="10" spans="1:21" x14ac:dyDescent="0.25">
      <c r="A10" s="63" t="s">
        <v>118</v>
      </c>
      <c r="B10" s="57">
        <f>SUM(B6:B9)</f>
        <v>-5553</v>
      </c>
      <c r="C10" s="57">
        <f>SUM(C6:C9)</f>
        <v>-5155</v>
      </c>
      <c r="D10" s="54"/>
      <c r="E10" s="44"/>
      <c r="F10" s="56">
        <v>-4010</v>
      </c>
      <c r="G10" s="57">
        <v>-4528</v>
      </c>
      <c r="H10" s="54"/>
      <c r="I10" s="44"/>
      <c r="J10" s="56">
        <v>-3515</v>
      </c>
      <c r="K10" s="57">
        <v>-7692</v>
      </c>
      <c r="L10" s="54"/>
      <c r="M10" s="44"/>
      <c r="N10" s="56">
        <v>-3922</v>
      </c>
      <c r="O10" s="57">
        <v>-9366</v>
      </c>
      <c r="P10" s="45"/>
      <c r="Q10" s="44"/>
      <c r="R10" s="57">
        <v>-11447</v>
      </c>
      <c r="S10" s="57">
        <v>-21586</v>
      </c>
      <c r="T10" s="44"/>
      <c r="U10" s="44"/>
    </row>
    <row r="11" spans="1:21" x14ac:dyDescent="0.25">
      <c r="A11" s="64"/>
      <c r="B11" s="44"/>
      <c r="C11" s="44"/>
      <c r="D11" s="45"/>
      <c r="E11" s="73"/>
      <c r="F11" s="73"/>
      <c r="G11" s="45"/>
      <c r="H11" s="45"/>
      <c r="I11" s="73"/>
      <c r="J11" s="73"/>
      <c r="K11" s="45"/>
      <c r="L11" s="45"/>
      <c r="M11" s="73"/>
      <c r="N11" s="73"/>
      <c r="O11" s="45"/>
      <c r="P11" s="44"/>
      <c r="Q11" s="73"/>
      <c r="R11" s="73"/>
      <c r="S11" s="44"/>
      <c r="T11" s="44"/>
      <c r="U11" s="44"/>
    </row>
    <row r="12" spans="1:21" x14ac:dyDescent="0.25">
      <c r="A12" s="58" t="s">
        <v>119</v>
      </c>
      <c r="B12" s="62">
        <v>7026</v>
      </c>
      <c r="C12" s="61">
        <v>3923</v>
      </c>
      <c r="D12" s="54"/>
      <c r="E12" s="44"/>
      <c r="F12" s="62">
        <v>4924</v>
      </c>
      <c r="G12" s="61">
        <v>1929</v>
      </c>
      <c r="H12" s="54"/>
      <c r="I12" s="44"/>
      <c r="J12" s="62">
        <v>2534</v>
      </c>
      <c r="K12" s="61">
        <v>6256</v>
      </c>
      <c r="L12" s="54"/>
      <c r="M12" s="44"/>
      <c r="N12" s="62">
        <v>2769</v>
      </c>
      <c r="O12" s="62">
        <v>11258</v>
      </c>
      <c r="P12" s="44"/>
      <c r="Q12" s="44"/>
      <c r="R12" s="62">
        <v>10227</v>
      </c>
      <c r="S12" s="62">
        <v>19442</v>
      </c>
      <c r="T12" s="44"/>
      <c r="U12" s="44"/>
    </row>
    <row r="13" spans="1:21" x14ac:dyDescent="0.25">
      <c r="A13" s="63" t="s">
        <v>120</v>
      </c>
      <c r="B13" s="69">
        <f>-B10/B12</f>
        <v>0.79035012809564475</v>
      </c>
      <c r="C13" s="69">
        <f>-C10/C12</f>
        <v>1.314045373438695</v>
      </c>
      <c r="D13" s="54"/>
      <c r="E13" s="44"/>
      <c r="F13" s="44">
        <v>0.81</v>
      </c>
      <c r="G13" s="44">
        <v>2.35</v>
      </c>
      <c r="H13" s="54"/>
      <c r="I13" s="44"/>
      <c r="J13" s="44">
        <v>1.39</v>
      </c>
      <c r="K13" s="44">
        <v>1.23</v>
      </c>
      <c r="L13" s="54"/>
      <c r="M13" s="44"/>
      <c r="N13" s="44">
        <v>1.42</v>
      </c>
      <c r="O13" s="44">
        <v>0.83</v>
      </c>
      <c r="P13" s="44"/>
      <c r="Q13" s="44"/>
      <c r="R13" s="44">
        <v>1.1200000000000001</v>
      </c>
      <c r="S13" s="44">
        <v>1.1100000000000001</v>
      </c>
      <c r="T13" s="44"/>
      <c r="U13" s="44"/>
    </row>
    <row r="14" spans="1:21" x14ac:dyDescent="0.25">
      <c r="A14" s="64"/>
      <c r="B14" s="44"/>
      <c r="C14" s="44"/>
      <c r="D14" s="45"/>
      <c r="E14" s="73"/>
      <c r="F14" s="73"/>
      <c r="G14" s="45"/>
      <c r="H14" s="45"/>
      <c r="I14" s="73"/>
      <c r="J14" s="73"/>
      <c r="K14" s="45"/>
      <c r="L14" s="45"/>
      <c r="M14" s="73"/>
      <c r="N14" s="73"/>
      <c r="O14" s="45"/>
      <c r="P14" s="44"/>
      <c r="Q14" s="73"/>
      <c r="R14" s="73"/>
      <c r="S14" s="44"/>
      <c r="T14" s="44"/>
      <c r="U14" s="44"/>
    </row>
    <row r="15" spans="1:21" x14ac:dyDescent="0.25">
      <c r="A15" s="64"/>
      <c r="B15" s="44"/>
      <c r="C15" s="44"/>
      <c r="D15" s="45"/>
      <c r="E15" s="73"/>
      <c r="F15" s="73"/>
      <c r="G15" s="45"/>
      <c r="H15" s="45"/>
      <c r="I15" s="73"/>
      <c r="J15" s="73"/>
      <c r="K15" s="45"/>
      <c r="L15" s="45"/>
      <c r="M15" s="73"/>
      <c r="N15" s="73"/>
      <c r="O15" s="45"/>
      <c r="P15" s="44"/>
      <c r="Q15" s="73"/>
      <c r="R15" s="73"/>
      <c r="S15" s="44"/>
      <c r="T15" s="44"/>
      <c r="U15" s="44"/>
    </row>
    <row r="16" spans="1:21" x14ac:dyDescent="0.25">
      <c r="A16" s="52" t="s">
        <v>121</v>
      </c>
      <c r="B16" s="65"/>
      <c r="C16" s="65"/>
      <c r="D16" s="54"/>
      <c r="E16" s="73"/>
      <c r="F16" s="73"/>
      <c r="G16" s="60"/>
      <c r="H16" s="54"/>
      <c r="I16" s="73"/>
      <c r="J16" s="73"/>
      <c r="K16" s="60"/>
      <c r="L16" s="54"/>
      <c r="M16" s="73"/>
      <c r="N16" s="73"/>
      <c r="O16" s="60"/>
      <c r="P16" s="44"/>
      <c r="Q16" s="73"/>
      <c r="R16" s="73"/>
      <c r="S16" s="60"/>
      <c r="T16" s="44"/>
      <c r="U16" s="44"/>
    </row>
    <row r="17" spans="1:21" x14ac:dyDescent="0.25">
      <c r="A17" s="55" t="s">
        <v>118</v>
      </c>
      <c r="B17" s="56">
        <f>B10</f>
        <v>-5553</v>
      </c>
      <c r="C17" s="56">
        <f>C10</f>
        <v>-5155</v>
      </c>
      <c r="D17" s="54"/>
      <c r="E17" s="44"/>
      <c r="F17" s="56">
        <v>-4010</v>
      </c>
      <c r="G17" s="56">
        <v>-4528</v>
      </c>
      <c r="H17" s="54"/>
      <c r="I17" s="44"/>
      <c r="J17" s="56">
        <v>-3515</v>
      </c>
      <c r="K17" s="56">
        <v>-7692</v>
      </c>
      <c r="L17" s="54"/>
      <c r="M17" s="44"/>
      <c r="N17" s="56">
        <v>-3922</v>
      </c>
      <c r="O17" s="57">
        <v>-9366</v>
      </c>
      <c r="P17" s="44"/>
      <c r="Q17" s="44"/>
      <c r="R17" s="56">
        <v>-11447</v>
      </c>
      <c r="S17" s="57">
        <v>-21586</v>
      </c>
      <c r="T17" s="44"/>
      <c r="U17" s="44"/>
    </row>
    <row r="18" spans="1:21" x14ac:dyDescent="0.25">
      <c r="A18" s="55" t="s">
        <v>139</v>
      </c>
      <c r="B18" s="74"/>
      <c r="C18" s="75">
        <v>25</v>
      </c>
      <c r="D18" s="54"/>
      <c r="E18" s="73"/>
      <c r="F18" s="73"/>
      <c r="G18" s="45">
        <v>88</v>
      </c>
      <c r="H18" s="54"/>
      <c r="I18" s="73"/>
      <c r="J18" s="73"/>
      <c r="K18" s="44">
        <v>119</v>
      </c>
      <c r="L18" s="54"/>
      <c r="M18" s="73"/>
      <c r="N18" s="73"/>
      <c r="O18" s="45">
        <v>355</v>
      </c>
      <c r="P18" s="44"/>
      <c r="Q18" s="44"/>
      <c r="R18" s="44">
        <v>0</v>
      </c>
      <c r="S18" s="44">
        <v>355</v>
      </c>
      <c r="T18" s="44"/>
      <c r="U18" s="44"/>
    </row>
    <row r="19" spans="1:21" x14ac:dyDescent="0.25">
      <c r="A19" s="55" t="s">
        <v>122</v>
      </c>
      <c r="B19" s="71">
        <v>-38</v>
      </c>
      <c r="C19" s="75">
        <v>4</v>
      </c>
      <c r="D19" s="54"/>
      <c r="E19" s="44"/>
      <c r="F19" s="44">
        <v>-180</v>
      </c>
      <c r="G19" s="57">
        <v>-223</v>
      </c>
      <c r="H19" s="54"/>
      <c r="I19" s="44"/>
      <c r="J19" s="44">
        <v>-18</v>
      </c>
      <c r="K19" s="44"/>
      <c r="L19" s="54"/>
      <c r="M19" s="44"/>
      <c r="N19" s="44">
        <v>-119</v>
      </c>
      <c r="O19" s="44"/>
      <c r="P19" s="44"/>
      <c r="Q19" s="44"/>
      <c r="R19" s="44">
        <v>-137</v>
      </c>
      <c r="S19" s="44">
        <v>119</v>
      </c>
      <c r="T19" s="44"/>
      <c r="U19" s="44"/>
    </row>
    <row r="20" spans="1:21" x14ac:dyDescent="0.25">
      <c r="A20" s="58" t="s">
        <v>123</v>
      </c>
      <c r="B20" s="76">
        <v>0</v>
      </c>
      <c r="C20" s="77">
        <v>231</v>
      </c>
      <c r="D20" s="54"/>
      <c r="E20" s="70"/>
      <c r="F20" s="59"/>
      <c r="G20" s="61">
        <v>1286</v>
      </c>
      <c r="H20" s="54"/>
      <c r="I20" s="73"/>
      <c r="J20" s="73"/>
      <c r="K20" s="60">
        <v>8</v>
      </c>
      <c r="L20" s="54"/>
      <c r="M20" s="73"/>
      <c r="N20" s="73"/>
      <c r="O20" s="59">
        <v>9</v>
      </c>
      <c r="P20" s="44"/>
      <c r="Q20" s="44"/>
      <c r="R20" s="59">
        <v>0</v>
      </c>
      <c r="S20" s="60">
        <v>17</v>
      </c>
      <c r="T20" s="44"/>
      <c r="U20" s="44"/>
    </row>
    <row r="21" spans="1:21" x14ac:dyDescent="0.25">
      <c r="A21" s="63" t="s">
        <v>124</v>
      </c>
      <c r="B21" s="78">
        <f>SUM(B17:B20)</f>
        <v>-5591</v>
      </c>
      <c r="C21" s="78">
        <f>SUM(C17:C20)</f>
        <v>-4895</v>
      </c>
      <c r="D21" s="54"/>
      <c r="E21" s="44"/>
      <c r="F21" s="56">
        <f>SUM(F17:F20)</f>
        <v>-4190</v>
      </c>
      <c r="G21" s="56">
        <f>SUM(G17:G20)</f>
        <v>-3377</v>
      </c>
      <c r="H21" s="54"/>
      <c r="I21" s="44"/>
      <c r="J21" s="56">
        <v>-3533</v>
      </c>
      <c r="K21" s="56">
        <v>-7565</v>
      </c>
      <c r="L21" s="54"/>
      <c r="M21" s="44"/>
      <c r="N21" s="56">
        <v>-4041</v>
      </c>
      <c r="O21" s="56">
        <v>-9002</v>
      </c>
      <c r="P21" s="44"/>
      <c r="Q21" s="44"/>
      <c r="R21" s="56">
        <v>-11584</v>
      </c>
      <c r="S21" s="56">
        <v>-21095</v>
      </c>
      <c r="T21" s="44"/>
      <c r="U21" s="44"/>
    </row>
    <row r="22" spans="1:21" x14ac:dyDescent="0.25">
      <c r="A22" s="64"/>
      <c r="B22" s="44"/>
      <c r="C22" s="44"/>
      <c r="D22" s="45"/>
      <c r="E22" s="73"/>
      <c r="F22" s="73"/>
      <c r="G22" s="45"/>
      <c r="H22" s="45"/>
      <c r="I22" s="73"/>
      <c r="J22" s="73"/>
      <c r="K22" s="45"/>
      <c r="L22" s="45"/>
      <c r="M22" s="73"/>
      <c r="N22" s="73"/>
      <c r="O22" s="45"/>
      <c r="P22" s="44"/>
      <c r="Q22" s="73"/>
      <c r="R22" s="73"/>
      <c r="S22" s="44"/>
      <c r="T22" s="44"/>
      <c r="U22" s="44"/>
    </row>
    <row r="23" spans="1:21" x14ac:dyDescent="0.25">
      <c r="A23" s="52" t="s">
        <v>125</v>
      </c>
      <c r="B23" s="72">
        <f>B21/B12</f>
        <v>-0.79575861087389699</v>
      </c>
      <c r="C23" s="72">
        <f>C21/C12</f>
        <v>-1.2477695641091002</v>
      </c>
      <c r="D23" s="54"/>
      <c r="E23" s="44"/>
      <c r="F23" s="72">
        <f>F21/F12</f>
        <v>-0.85093419983753049</v>
      </c>
      <c r="G23" s="72">
        <f>G21/G12</f>
        <v>-1.7506480041472265</v>
      </c>
      <c r="H23" s="54"/>
      <c r="I23" s="44"/>
      <c r="J23" s="59">
        <v>-1.39</v>
      </c>
      <c r="K23" s="59">
        <v>-1.21</v>
      </c>
      <c r="L23" s="54"/>
      <c r="M23" s="44"/>
      <c r="N23" s="59">
        <v>-1.46</v>
      </c>
      <c r="O23" s="59">
        <v>-0.8</v>
      </c>
      <c r="P23" s="44"/>
      <c r="Q23" s="44"/>
      <c r="R23" s="59">
        <v>-1.1299999999999999</v>
      </c>
      <c r="S23" s="59">
        <v>-1.0900000000000001</v>
      </c>
      <c r="T23" s="44"/>
      <c r="U23" s="44"/>
    </row>
    <row r="24" spans="1:21" x14ac:dyDescent="0.25">
      <c r="A24" s="44"/>
      <c r="B24" s="44"/>
      <c r="C24" s="44"/>
      <c r="D24" s="45"/>
      <c r="E24" s="73"/>
      <c r="F24" s="73"/>
      <c r="G24" s="44"/>
      <c r="H24" s="45"/>
      <c r="I24" s="73"/>
      <c r="J24" s="73"/>
      <c r="K24" s="44"/>
      <c r="L24" s="45"/>
      <c r="M24" s="73"/>
      <c r="N24" s="73"/>
      <c r="O24" s="45"/>
      <c r="P24" s="44"/>
      <c r="Q24" s="73"/>
      <c r="R24" s="73"/>
      <c r="S24" s="44"/>
      <c r="T24" s="44"/>
      <c r="U24" s="44"/>
    </row>
    <row r="25" spans="1:21" x14ac:dyDescent="0.25">
      <c r="A25" s="44"/>
      <c r="B25" s="44"/>
      <c r="C25" s="44"/>
      <c r="D25" s="45"/>
      <c r="E25" s="73"/>
      <c r="F25" s="73"/>
      <c r="G25" s="44"/>
      <c r="H25" s="45"/>
      <c r="I25" s="73"/>
      <c r="J25" s="73"/>
      <c r="K25" s="44"/>
      <c r="L25" s="45"/>
      <c r="M25" s="73"/>
      <c r="N25" s="73"/>
      <c r="O25" s="45"/>
      <c r="P25" s="44"/>
      <c r="Q25" s="73"/>
      <c r="R25" s="73"/>
      <c r="S25" s="44"/>
      <c r="T25" s="44"/>
      <c r="U25" s="44"/>
    </row>
    <row r="26" spans="1:21" ht="18.75" x14ac:dyDescent="0.3">
      <c r="A26" s="46" t="s">
        <v>126</v>
      </c>
      <c r="B26" s="47" t="s">
        <v>108</v>
      </c>
      <c r="C26" s="47" t="s">
        <v>88</v>
      </c>
      <c r="D26" s="66" t="s">
        <v>88</v>
      </c>
      <c r="E26" s="44"/>
      <c r="F26" s="47" t="s">
        <v>108</v>
      </c>
      <c r="G26" s="47" t="s">
        <v>88</v>
      </c>
      <c r="H26" s="66" t="s">
        <v>88</v>
      </c>
      <c r="I26" s="44"/>
      <c r="J26" s="47" t="s">
        <v>108</v>
      </c>
      <c r="K26" s="47" t="s">
        <v>88</v>
      </c>
      <c r="L26" s="66" t="s">
        <v>88</v>
      </c>
      <c r="M26" s="44"/>
      <c r="N26" s="47" t="s">
        <v>88</v>
      </c>
      <c r="O26" s="47" t="s">
        <v>88</v>
      </c>
      <c r="P26" s="66" t="s">
        <v>88</v>
      </c>
      <c r="Q26" s="44"/>
      <c r="R26" s="47" t="s">
        <v>108</v>
      </c>
      <c r="S26" s="47" t="s">
        <v>88</v>
      </c>
      <c r="T26" s="66" t="s">
        <v>88</v>
      </c>
      <c r="U26" s="44"/>
    </row>
    <row r="27" spans="1:21" x14ac:dyDescent="0.25">
      <c r="A27" s="44"/>
      <c r="B27" s="51" t="s">
        <v>3</v>
      </c>
      <c r="C27" s="51" t="s">
        <v>3</v>
      </c>
      <c r="D27" s="45" t="s">
        <v>127</v>
      </c>
      <c r="E27" s="44"/>
      <c r="F27" s="51" t="s">
        <v>2</v>
      </c>
      <c r="G27" s="51" t="s">
        <v>2</v>
      </c>
      <c r="H27" s="45" t="s">
        <v>127</v>
      </c>
      <c r="I27" s="44"/>
      <c r="J27" s="51" t="s">
        <v>5</v>
      </c>
      <c r="K27" s="51" t="s">
        <v>5</v>
      </c>
      <c r="L27" s="45" t="s">
        <v>127</v>
      </c>
      <c r="M27" s="44"/>
      <c r="N27" s="51" t="s">
        <v>4</v>
      </c>
      <c r="O27" s="51" t="s">
        <v>4</v>
      </c>
      <c r="P27" s="44" t="s">
        <v>127</v>
      </c>
      <c r="Q27" s="44"/>
      <c r="R27" s="51" t="s">
        <v>4</v>
      </c>
      <c r="S27" s="51" t="s">
        <v>4</v>
      </c>
      <c r="T27" s="44" t="s">
        <v>127</v>
      </c>
      <c r="U27" s="44"/>
    </row>
    <row r="28" spans="1:21" ht="18.75" x14ac:dyDescent="0.3">
      <c r="A28" s="48"/>
      <c r="B28" s="47" t="s">
        <v>8</v>
      </c>
      <c r="C28" s="47" t="s">
        <v>8</v>
      </c>
      <c r="D28" s="60" t="s">
        <v>128</v>
      </c>
      <c r="E28" s="44"/>
      <c r="F28" s="47" t="s">
        <v>7</v>
      </c>
      <c r="G28" s="47" t="s">
        <v>7</v>
      </c>
      <c r="H28" s="60" t="s">
        <v>128</v>
      </c>
      <c r="I28" s="44"/>
      <c r="J28" s="47" t="s">
        <v>10</v>
      </c>
      <c r="K28" s="47" t="s">
        <v>10</v>
      </c>
      <c r="L28" s="60" t="s">
        <v>128</v>
      </c>
      <c r="M28" s="44"/>
      <c r="N28" s="47" t="s">
        <v>9</v>
      </c>
      <c r="O28" s="47" t="s">
        <v>9</v>
      </c>
      <c r="P28" s="59" t="s">
        <v>128</v>
      </c>
      <c r="Q28" s="44"/>
      <c r="R28" s="47" t="s">
        <v>8</v>
      </c>
      <c r="S28" s="47" t="s">
        <v>8</v>
      </c>
      <c r="T28" s="59" t="s">
        <v>128</v>
      </c>
      <c r="U28" s="44"/>
    </row>
    <row r="29" spans="1:21" x14ac:dyDescent="0.25">
      <c r="A29" s="50" t="s">
        <v>11</v>
      </c>
      <c r="B29" s="56">
        <v>3997</v>
      </c>
      <c r="C29" s="57">
        <v>1813</v>
      </c>
      <c r="D29" s="57">
        <v>1829</v>
      </c>
      <c r="E29" s="44"/>
      <c r="F29" s="56">
        <v>2357</v>
      </c>
      <c r="G29" s="56">
        <v>1353</v>
      </c>
      <c r="H29" s="56">
        <v>1365</v>
      </c>
      <c r="I29" s="44"/>
      <c r="J29" s="44">
        <v>950</v>
      </c>
      <c r="K29" s="56">
        <v>3462</v>
      </c>
      <c r="L29" s="56">
        <v>3294</v>
      </c>
      <c r="M29" s="44"/>
      <c r="N29" s="56">
        <v>1097</v>
      </c>
      <c r="O29" s="57">
        <v>7315</v>
      </c>
      <c r="P29" s="56">
        <v>6966</v>
      </c>
      <c r="Q29" s="44"/>
      <c r="R29" s="56">
        <v>4404</v>
      </c>
      <c r="S29" s="56">
        <v>12130</v>
      </c>
      <c r="T29" s="56">
        <v>11625</v>
      </c>
      <c r="U29" s="44"/>
    </row>
    <row r="30" spans="1:21" x14ac:dyDescent="0.25">
      <c r="A30" s="44"/>
      <c r="B30" s="56"/>
      <c r="C30" s="57"/>
      <c r="D30" s="57"/>
      <c r="E30" s="73"/>
      <c r="F30" s="73"/>
      <c r="G30" s="45"/>
      <c r="H30" s="44"/>
      <c r="I30" s="73"/>
      <c r="J30" s="73"/>
      <c r="K30" s="45"/>
      <c r="L30" s="44"/>
      <c r="M30" s="73"/>
      <c r="N30" s="73"/>
      <c r="O30" s="45"/>
      <c r="P30" s="44"/>
      <c r="Q30" s="73"/>
      <c r="R30" s="73"/>
      <c r="S30" s="44"/>
      <c r="T30" s="44"/>
      <c r="U30" s="44"/>
    </row>
    <row r="31" spans="1:21" x14ac:dyDescent="0.25">
      <c r="A31" s="63" t="s">
        <v>129</v>
      </c>
      <c r="B31" s="56">
        <v>3792</v>
      </c>
      <c r="C31" s="56">
        <v>1514</v>
      </c>
      <c r="D31" s="57">
        <v>1514</v>
      </c>
      <c r="E31" s="44"/>
      <c r="F31" s="56">
        <v>2413</v>
      </c>
      <c r="G31" s="44">
        <v>982</v>
      </c>
      <c r="H31" s="44">
        <v>982</v>
      </c>
      <c r="I31" s="44"/>
      <c r="J31" s="44">
        <v>739</v>
      </c>
      <c r="K31" s="56">
        <v>3398</v>
      </c>
      <c r="L31" s="56">
        <v>3398</v>
      </c>
      <c r="M31" s="44"/>
      <c r="N31" s="44">
        <v>804</v>
      </c>
      <c r="O31" s="56">
        <v>7365</v>
      </c>
      <c r="P31" s="56">
        <v>7365</v>
      </c>
      <c r="Q31" s="44"/>
      <c r="R31" s="56">
        <v>3956</v>
      </c>
      <c r="S31" s="56">
        <v>11746</v>
      </c>
      <c r="T31" s="56">
        <v>11746</v>
      </c>
      <c r="U31" s="44"/>
    </row>
    <row r="32" spans="1:21" x14ac:dyDescent="0.25">
      <c r="A32" s="67"/>
      <c r="B32" s="44"/>
      <c r="C32" s="45"/>
      <c r="D32" s="54"/>
      <c r="E32" s="73"/>
      <c r="F32" s="73"/>
      <c r="G32" s="45"/>
      <c r="H32" s="44"/>
      <c r="I32" s="73"/>
      <c r="J32" s="73"/>
      <c r="K32" s="45"/>
      <c r="L32" s="44"/>
      <c r="M32" s="73"/>
      <c r="N32" s="73"/>
      <c r="O32" s="45"/>
      <c r="P32" s="44"/>
      <c r="Q32" s="73"/>
      <c r="R32" s="73"/>
      <c r="S32" s="44"/>
      <c r="T32" s="44"/>
      <c r="U32" s="44"/>
    </row>
    <row r="33" spans="1:21" x14ac:dyDescent="0.25">
      <c r="A33" s="63" t="s">
        <v>130</v>
      </c>
      <c r="B33" s="69">
        <f>B29/B31</f>
        <v>1.0540611814345993</v>
      </c>
      <c r="C33" s="69">
        <f t="shared" ref="C33:D33" si="0">C29/C31</f>
        <v>1.1974900924702774</v>
      </c>
      <c r="D33" s="69">
        <f t="shared" si="0"/>
        <v>1.2080581241743724</v>
      </c>
      <c r="E33" s="44"/>
      <c r="F33" s="44">
        <v>0.98</v>
      </c>
      <c r="G33" s="44">
        <v>1.38</v>
      </c>
      <c r="H33" s="44">
        <v>1.39</v>
      </c>
      <c r="I33" s="44"/>
      <c r="J33" s="44">
        <v>1.29</v>
      </c>
      <c r="K33" s="44">
        <v>1.02</v>
      </c>
      <c r="L33" s="44">
        <v>0.97</v>
      </c>
      <c r="M33" s="44"/>
      <c r="N33" s="44">
        <v>1.36</v>
      </c>
      <c r="O33" s="44">
        <v>0.99</v>
      </c>
      <c r="P33" s="44">
        <v>0.95</v>
      </c>
      <c r="Q33" s="44"/>
      <c r="R33" s="44">
        <v>1.1100000000000001</v>
      </c>
      <c r="S33" s="44">
        <v>1.03</v>
      </c>
      <c r="T33" s="44">
        <v>0.99</v>
      </c>
      <c r="U33" s="44"/>
    </row>
    <row r="34" spans="1:21" x14ac:dyDescent="0.25">
      <c r="A34" s="44"/>
      <c r="B34" s="44"/>
      <c r="C34" s="44"/>
      <c r="D34" s="45"/>
      <c r="E34" s="73"/>
      <c r="F34" s="73"/>
      <c r="G34" s="44"/>
      <c r="H34" s="45"/>
      <c r="I34" s="73"/>
      <c r="J34" s="73"/>
      <c r="K34" s="44"/>
      <c r="L34" s="45"/>
      <c r="M34" s="73"/>
      <c r="N34" s="73"/>
      <c r="O34" s="45"/>
      <c r="P34" s="44"/>
      <c r="Q34" s="73"/>
      <c r="R34" s="73"/>
      <c r="S34" s="44"/>
      <c r="T34" s="44"/>
      <c r="U34" s="44"/>
    </row>
    <row r="35" spans="1:21" x14ac:dyDescent="0.25">
      <c r="A35" s="44"/>
      <c r="B35" s="44"/>
      <c r="C35" s="44"/>
      <c r="D35" s="45"/>
      <c r="E35" s="73"/>
      <c r="F35" s="73"/>
      <c r="G35" s="44"/>
      <c r="H35" s="45"/>
      <c r="I35" s="73"/>
      <c r="J35" s="73"/>
      <c r="K35" s="44"/>
      <c r="L35" s="45"/>
      <c r="M35" s="73"/>
      <c r="N35" s="73"/>
      <c r="O35" s="45"/>
      <c r="P35" s="44"/>
      <c r="Q35" s="73"/>
      <c r="R35" s="73"/>
      <c r="S35" s="44"/>
      <c r="T35" s="44"/>
      <c r="U35" s="44"/>
    </row>
    <row r="36" spans="1:21" x14ac:dyDescent="0.25">
      <c r="A36" s="44"/>
      <c r="B36" s="44"/>
      <c r="C36" s="44"/>
      <c r="D36" s="45"/>
      <c r="E36" s="73"/>
      <c r="F36" s="73"/>
      <c r="G36" s="44"/>
      <c r="H36" s="45"/>
      <c r="I36" s="73"/>
      <c r="J36" s="73"/>
      <c r="K36" s="44"/>
      <c r="L36" s="45"/>
      <c r="M36" s="73"/>
      <c r="N36" s="73"/>
      <c r="O36" s="45"/>
      <c r="P36" s="44"/>
      <c r="Q36" s="73"/>
      <c r="R36" s="73"/>
      <c r="S36" s="44"/>
      <c r="T36" s="44"/>
      <c r="U36" s="44"/>
    </row>
    <row r="37" spans="1:21" ht="18.75" x14ac:dyDescent="0.3">
      <c r="A37" s="46" t="s">
        <v>131</v>
      </c>
      <c r="B37" s="47" t="s">
        <v>108</v>
      </c>
      <c r="C37" s="47" t="s">
        <v>88</v>
      </c>
      <c r="D37" s="66" t="s">
        <v>88</v>
      </c>
      <c r="E37" s="44"/>
      <c r="F37" s="47" t="s">
        <v>108</v>
      </c>
      <c r="G37" s="47" t="s">
        <v>88</v>
      </c>
      <c r="H37" s="66" t="s">
        <v>88</v>
      </c>
      <c r="I37" s="44"/>
      <c r="J37" s="47" t="s">
        <v>108</v>
      </c>
      <c r="K37" s="47" t="s">
        <v>88</v>
      </c>
      <c r="L37" s="66" t="s">
        <v>88</v>
      </c>
      <c r="M37" s="44"/>
      <c r="N37" s="47" t="s">
        <v>88</v>
      </c>
      <c r="O37" s="47" t="s">
        <v>88</v>
      </c>
      <c r="P37" s="66" t="s">
        <v>88</v>
      </c>
      <c r="Q37" s="44"/>
      <c r="R37" s="47" t="s">
        <v>108</v>
      </c>
      <c r="S37" s="47" t="s">
        <v>88</v>
      </c>
      <c r="T37" s="66" t="s">
        <v>88</v>
      </c>
      <c r="U37" s="44"/>
    </row>
    <row r="38" spans="1:21" x14ac:dyDescent="0.25">
      <c r="A38" s="44"/>
      <c r="B38" s="51" t="s">
        <v>3</v>
      </c>
      <c r="C38" s="51" t="s">
        <v>3</v>
      </c>
      <c r="D38" s="45" t="s">
        <v>127</v>
      </c>
      <c r="E38" s="44"/>
      <c r="F38" s="51" t="s">
        <v>2</v>
      </c>
      <c r="G38" s="51" t="s">
        <v>2</v>
      </c>
      <c r="H38" s="45" t="s">
        <v>127</v>
      </c>
      <c r="I38" s="44"/>
      <c r="J38" s="51" t="s">
        <v>5</v>
      </c>
      <c r="K38" s="51" t="s">
        <v>5</v>
      </c>
      <c r="L38" s="45" t="s">
        <v>127</v>
      </c>
      <c r="M38" s="44"/>
      <c r="N38" s="51" t="s">
        <v>4</v>
      </c>
      <c r="O38" s="51" t="s">
        <v>4</v>
      </c>
      <c r="P38" s="44" t="s">
        <v>127</v>
      </c>
      <c r="Q38" s="44"/>
      <c r="R38" s="51" t="s">
        <v>4</v>
      </c>
      <c r="S38" s="51" t="s">
        <v>4</v>
      </c>
      <c r="T38" s="44" t="s">
        <v>127</v>
      </c>
      <c r="U38" s="44"/>
    </row>
    <row r="39" spans="1:21" ht="18.75" x14ac:dyDescent="0.3">
      <c r="A39" s="48"/>
      <c r="B39" s="47" t="s">
        <v>8</v>
      </c>
      <c r="C39" s="47" t="s">
        <v>8</v>
      </c>
      <c r="D39" s="60" t="s">
        <v>128</v>
      </c>
      <c r="E39" s="44"/>
      <c r="F39" s="47" t="s">
        <v>7</v>
      </c>
      <c r="G39" s="47" t="s">
        <v>7</v>
      </c>
      <c r="H39" s="60" t="s">
        <v>128</v>
      </c>
      <c r="I39" s="44"/>
      <c r="J39" s="47" t="s">
        <v>10</v>
      </c>
      <c r="K39" s="47" t="s">
        <v>10</v>
      </c>
      <c r="L39" s="60" t="s">
        <v>128</v>
      </c>
      <c r="M39" s="44"/>
      <c r="N39" s="47" t="s">
        <v>9</v>
      </c>
      <c r="O39" s="47" t="s">
        <v>9</v>
      </c>
      <c r="P39" s="59" t="s">
        <v>128</v>
      </c>
      <c r="Q39" s="44"/>
      <c r="R39" s="47" t="s">
        <v>8</v>
      </c>
      <c r="S39" s="47" t="s">
        <v>8</v>
      </c>
      <c r="T39" s="59" t="s">
        <v>128</v>
      </c>
      <c r="U39" s="44"/>
    </row>
    <row r="40" spans="1:21" x14ac:dyDescent="0.25">
      <c r="A40" s="53" t="s">
        <v>11</v>
      </c>
      <c r="B40" s="56">
        <v>3997</v>
      </c>
      <c r="C40" s="56">
        <v>1813</v>
      </c>
      <c r="D40" s="57">
        <v>1829</v>
      </c>
      <c r="E40" s="44"/>
      <c r="F40" s="56">
        <v>2357</v>
      </c>
      <c r="G40" s="56">
        <v>1353</v>
      </c>
      <c r="H40" s="56">
        <v>1365</v>
      </c>
      <c r="I40" s="44"/>
      <c r="J40" s="44">
        <v>950</v>
      </c>
      <c r="K40" s="56">
        <v>3462</v>
      </c>
      <c r="L40" s="56">
        <v>3294</v>
      </c>
      <c r="M40" s="44"/>
      <c r="N40" s="56">
        <v>1097</v>
      </c>
      <c r="O40" s="56">
        <v>7315</v>
      </c>
      <c r="P40" s="56">
        <v>6966</v>
      </c>
      <c r="Q40" s="44"/>
      <c r="R40" s="56">
        <v>4404</v>
      </c>
      <c r="S40" s="56">
        <v>12130</v>
      </c>
      <c r="T40" s="56">
        <v>11625</v>
      </c>
      <c r="U40" s="44"/>
    </row>
    <row r="41" spans="1:21" x14ac:dyDescent="0.25">
      <c r="A41" s="44"/>
      <c r="B41" s="56"/>
      <c r="C41" s="56"/>
      <c r="D41" s="57"/>
      <c r="E41" s="73"/>
      <c r="F41" s="73"/>
      <c r="G41" s="45"/>
      <c r="H41" s="44"/>
      <c r="I41" s="73"/>
      <c r="J41" s="73"/>
      <c r="K41" s="45"/>
      <c r="L41" s="44"/>
      <c r="M41" s="73"/>
      <c r="N41" s="73"/>
      <c r="O41" s="45"/>
      <c r="P41" s="44"/>
      <c r="Q41" s="73"/>
      <c r="R41" s="73"/>
      <c r="S41" s="44"/>
      <c r="T41" s="44"/>
      <c r="U41" s="44"/>
    </row>
    <row r="42" spans="1:21" x14ac:dyDescent="0.25">
      <c r="A42" s="67" t="s">
        <v>132</v>
      </c>
      <c r="B42" s="56">
        <v>6574</v>
      </c>
      <c r="C42" s="56">
        <v>3742</v>
      </c>
      <c r="D42" s="57">
        <v>3782</v>
      </c>
      <c r="E42" s="44"/>
      <c r="F42" s="56">
        <v>4743</v>
      </c>
      <c r="G42" s="57">
        <v>1910</v>
      </c>
      <c r="H42" s="56">
        <v>1910</v>
      </c>
      <c r="I42" s="44"/>
      <c r="J42" s="56">
        <v>2521</v>
      </c>
      <c r="K42" s="57">
        <v>5906</v>
      </c>
      <c r="L42" s="56">
        <v>5906</v>
      </c>
      <c r="M42" s="44"/>
      <c r="N42" s="56">
        <v>2748</v>
      </c>
      <c r="O42" s="57">
        <v>10759</v>
      </c>
      <c r="P42" s="56">
        <v>10759</v>
      </c>
      <c r="Q42" s="44"/>
      <c r="R42" s="56">
        <v>10011</v>
      </c>
      <c r="S42" s="56">
        <v>18575</v>
      </c>
      <c r="T42" s="56">
        <v>18575</v>
      </c>
      <c r="U42" s="44"/>
    </row>
    <row r="43" spans="1:21" x14ac:dyDescent="0.25">
      <c r="A43" s="67"/>
      <c r="B43" s="53"/>
      <c r="C43" s="44"/>
      <c r="D43" s="45"/>
      <c r="E43" s="73"/>
      <c r="F43" s="73"/>
      <c r="G43" s="45"/>
      <c r="H43" s="44"/>
      <c r="I43" s="73"/>
      <c r="J43" s="73"/>
      <c r="K43" s="45"/>
      <c r="L43" s="44"/>
      <c r="M43" s="73"/>
      <c r="N43" s="73"/>
      <c r="O43" s="45"/>
      <c r="P43" s="44"/>
      <c r="Q43" s="73"/>
      <c r="R43" s="73"/>
      <c r="S43" s="44"/>
      <c r="T43" s="44"/>
      <c r="U43" s="44"/>
    </row>
    <row r="44" spans="1:21" x14ac:dyDescent="0.25">
      <c r="A44" s="67" t="s">
        <v>133</v>
      </c>
      <c r="B44" s="69">
        <f>B40/B42</f>
        <v>0.60800121691512021</v>
      </c>
      <c r="C44" s="69">
        <f t="shared" ref="C44:D44" si="1">C40/C42</f>
        <v>0.48450026723677175</v>
      </c>
      <c r="D44" s="69">
        <f t="shared" si="1"/>
        <v>0.48360655737704916</v>
      </c>
      <c r="E44" s="44"/>
      <c r="F44" s="44">
        <v>0.5</v>
      </c>
      <c r="G44" s="44">
        <v>0.71</v>
      </c>
      <c r="H44" s="44">
        <v>0.71</v>
      </c>
      <c r="I44" s="44"/>
      <c r="J44" s="44">
        <v>0.38</v>
      </c>
      <c r="K44" s="44">
        <v>0.59</v>
      </c>
      <c r="L44" s="44">
        <v>0.56000000000000005</v>
      </c>
      <c r="M44" s="44"/>
      <c r="N44" s="44">
        <v>0.4</v>
      </c>
      <c r="O44" s="44">
        <v>0.68</v>
      </c>
      <c r="P44" s="44">
        <v>0.65</v>
      </c>
      <c r="Q44" s="44"/>
      <c r="R44" s="44">
        <v>0.44</v>
      </c>
      <c r="S44" s="44">
        <v>0.65</v>
      </c>
      <c r="T44" s="45">
        <v>0.63</v>
      </c>
      <c r="U44" s="44"/>
    </row>
    <row r="45" spans="1:21" x14ac:dyDescent="0.25">
      <c r="A45" s="44"/>
      <c r="B45" s="44"/>
      <c r="C45" s="44"/>
      <c r="D45" s="45"/>
      <c r="E45" s="73"/>
      <c r="F45" s="73"/>
      <c r="G45" s="44"/>
      <c r="H45" s="45"/>
      <c r="I45" s="73"/>
      <c r="J45" s="73"/>
      <c r="K45" s="44"/>
      <c r="L45" s="45"/>
      <c r="M45" s="73"/>
      <c r="N45" s="73"/>
      <c r="O45" s="45"/>
      <c r="P45" s="44"/>
      <c r="Q45" s="73"/>
      <c r="R45" s="73"/>
      <c r="S45" s="44"/>
      <c r="T45" s="44"/>
      <c r="U45" s="44"/>
    </row>
    <row r="46" spans="1:21" x14ac:dyDescent="0.25">
      <c r="A46" s="44"/>
      <c r="B46" s="44"/>
      <c r="C46" s="44"/>
      <c r="D46" s="45"/>
      <c r="E46" s="73"/>
      <c r="F46" s="73"/>
      <c r="G46" s="44"/>
      <c r="H46" s="45"/>
      <c r="I46" s="73"/>
      <c r="J46" s="73"/>
      <c r="K46" s="44"/>
      <c r="L46" s="45"/>
      <c r="M46" s="73"/>
      <c r="N46" s="73"/>
      <c r="O46" s="45"/>
      <c r="P46" s="44"/>
      <c r="Q46" s="73"/>
      <c r="R46" s="73"/>
      <c r="S46" s="44"/>
      <c r="T46" s="44"/>
      <c r="U46" s="44"/>
    </row>
    <row r="47" spans="1:21" ht="18.75" x14ac:dyDescent="0.3">
      <c r="A47" s="46" t="s">
        <v>134</v>
      </c>
      <c r="B47" s="47" t="s">
        <v>108</v>
      </c>
      <c r="C47" s="47" t="s">
        <v>88</v>
      </c>
      <c r="D47" s="66" t="s">
        <v>88</v>
      </c>
      <c r="E47" s="44"/>
      <c r="F47" s="47" t="s">
        <v>108</v>
      </c>
      <c r="G47" s="47" t="s">
        <v>88</v>
      </c>
      <c r="H47" s="66" t="s">
        <v>88</v>
      </c>
      <c r="I47" s="44"/>
      <c r="J47" s="47" t="s">
        <v>108</v>
      </c>
      <c r="K47" s="47" t="s">
        <v>88</v>
      </c>
      <c r="L47" s="66" t="s">
        <v>88</v>
      </c>
      <c r="M47" s="44"/>
      <c r="N47" s="47" t="s">
        <v>108</v>
      </c>
      <c r="O47" s="47" t="s">
        <v>88</v>
      </c>
      <c r="P47" s="66" t="s">
        <v>88</v>
      </c>
      <c r="Q47" s="44"/>
      <c r="R47" s="47" t="s">
        <v>108</v>
      </c>
      <c r="S47" s="47" t="s">
        <v>88</v>
      </c>
      <c r="T47" s="66" t="s">
        <v>88</v>
      </c>
      <c r="U47" s="44"/>
    </row>
    <row r="48" spans="1:21" x14ac:dyDescent="0.25">
      <c r="A48" s="44"/>
      <c r="B48" s="51" t="s">
        <v>3</v>
      </c>
      <c r="C48" s="51" t="s">
        <v>3</v>
      </c>
      <c r="D48" s="45" t="s">
        <v>127</v>
      </c>
      <c r="E48" s="44"/>
      <c r="F48" s="51" t="s">
        <v>2</v>
      </c>
      <c r="G48" s="51" t="s">
        <v>2</v>
      </c>
      <c r="H48" s="45" t="s">
        <v>127</v>
      </c>
      <c r="I48" s="44"/>
      <c r="J48" s="51" t="s">
        <v>5</v>
      </c>
      <c r="K48" s="51" t="s">
        <v>5</v>
      </c>
      <c r="L48" s="45" t="s">
        <v>127</v>
      </c>
      <c r="M48" s="44"/>
      <c r="N48" s="51" t="s">
        <v>4</v>
      </c>
      <c r="O48" s="51" t="s">
        <v>4</v>
      </c>
      <c r="P48" s="44" t="s">
        <v>127</v>
      </c>
      <c r="Q48" s="44"/>
      <c r="R48" s="51" t="s">
        <v>4</v>
      </c>
      <c r="S48" s="51" t="s">
        <v>4</v>
      </c>
      <c r="T48" s="44" t="s">
        <v>127</v>
      </c>
      <c r="U48" s="44"/>
    </row>
    <row r="49" spans="1:21" ht="18.75" x14ac:dyDescent="0.3">
      <c r="A49" s="48"/>
      <c r="B49" s="47" t="s">
        <v>8</v>
      </c>
      <c r="C49" s="47" t="s">
        <v>8</v>
      </c>
      <c r="D49" s="60" t="s">
        <v>128</v>
      </c>
      <c r="E49" s="44"/>
      <c r="F49" s="47" t="s">
        <v>7</v>
      </c>
      <c r="G49" s="47" t="s">
        <v>7</v>
      </c>
      <c r="H49" s="60" t="s">
        <v>128</v>
      </c>
      <c r="I49" s="44"/>
      <c r="J49" s="47" t="s">
        <v>10</v>
      </c>
      <c r="K49" s="47" t="s">
        <v>10</v>
      </c>
      <c r="L49" s="60" t="s">
        <v>128</v>
      </c>
      <c r="M49" s="44"/>
      <c r="N49" s="47" t="s">
        <v>9</v>
      </c>
      <c r="O49" s="47" t="s">
        <v>9</v>
      </c>
      <c r="P49" s="59" t="s">
        <v>128</v>
      </c>
      <c r="Q49" s="44"/>
      <c r="R49" s="47" t="s">
        <v>8</v>
      </c>
      <c r="S49" s="47" t="s">
        <v>8</v>
      </c>
      <c r="T49" s="59" t="s">
        <v>128</v>
      </c>
      <c r="U49" s="44"/>
    </row>
    <row r="50" spans="1:21" x14ac:dyDescent="0.25">
      <c r="A50" s="53" t="s">
        <v>11</v>
      </c>
      <c r="B50" s="56">
        <f>B40</f>
        <v>3997</v>
      </c>
      <c r="C50" s="44">
        <v>1813</v>
      </c>
      <c r="D50" s="56">
        <f>D40</f>
        <v>1829</v>
      </c>
      <c r="E50" s="44"/>
      <c r="F50" s="56">
        <v>2357</v>
      </c>
      <c r="G50" s="56">
        <v>1353</v>
      </c>
      <c r="H50" s="54"/>
      <c r="I50" s="44"/>
      <c r="J50" s="44">
        <v>950</v>
      </c>
      <c r="K50" s="56">
        <v>3462</v>
      </c>
      <c r="L50" s="44"/>
      <c r="M50" s="44"/>
      <c r="N50" s="56">
        <v>1097</v>
      </c>
      <c r="O50" s="56">
        <v>7315</v>
      </c>
      <c r="P50" s="44"/>
      <c r="Q50" s="44"/>
      <c r="R50" s="56">
        <v>4404</v>
      </c>
      <c r="S50" s="56">
        <v>12130</v>
      </c>
      <c r="T50" s="44"/>
      <c r="U50" s="44"/>
    </row>
    <row r="51" spans="1:21" x14ac:dyDescent="0.25">
      <c r="A51" s="53" t="s">
        <v>12</v>
      </c>
      <c r="B51" s="56">
        <f>'Income Statement'!J8</f>
        <v>267</v>
      </c>
      <c r="C51" s="56">
        <f>'Income Statement'!E8</f>
        <v>88</v>
      </c>
      <c r="D51" s="56">
        <v>161</v>
      </c>
      <c r="E51" s="44"/>
      <c r="F51" s="44">
        <v>105</v>
      </c>
      <c r="G51" s="44">
        <v>30</v>
      </c>
      <c r="H51" s="54"/>
      <c r="I51" s="44"/>
      <c r="J51" s="44">
        <v>3</v>
      </c>
      <c r="K51" s="44">
        <v>201</v>
      </c>
      <c r="L51" s="44"/>
      <c r="M51" s="44"/>
      <c r="N51" s="44">
        <v>9</v>
      </c>
      <c r="O51" s="44">
        <v>245</v>
      </c>
      <c r="P51" s="44"/>
      <c r="Q51" s="44"/>
      <c r="R51" s="44">
        <v>117</v>
      </c>
      <c r="S51" s="44">
        <v>476</v>
      </c>
      <c r="T51" s="44"/>
      <c r="U51" s="44"/>
    </row>
    <row r="52" spans="1:21" x14ac:dyDescent="0.25">
      <c r="A52" s="53" t="s">
        <v>135</v>
      </c>
      <c r="B52" s="56">
        <f>'Income Statement'!J9</f>
        <v>350</v>
      </c>
      <c r="C52" s="56">
        <f>'Income Statement'!E9</f>
        <v>163</v>
      </c>
      <c r="D52" s="56">
        <v>86</v>
      </c>
      <c r="E52" s="44"/>
      <c r="F52" s="44">
        <v>303</v>
      </c>
      <c r="G52" s="44">
        <v>188</v>
      </c>
      <c r="H52" s="54"/>
      <c r="I52" s="44"/>
      <c r="J52" s="44">
        <v>282</v>
      </c>
      <c r="K52" s="44">
        <v>160</v>
      </c>
      <c r="L52" s="44"/>
      <c r="M52" s="44"/>
      <c r="N52" s="44">
        <v>231</v>
      </c>
      <c r="O52" s="44">
        <v>366</v>
      </c>
      <c r="P52" s="44"/>
      <c r="Q52" s="44"/>
      <c r="R52" s="44">
        <v>816</v>
      </c>
      <c r="S52" s="44">
        <v>714</v>
      </c>
      <c r="T52" s="44"/>
      <c r="U52" s="44"/>
    </row>
    <row r="53" spans="1:21" x14ac:dyDescent="0.25">
      <c r="A53" s="53" t="s">
        <v>13</v>
      </c>
      <c r="B53" s="62">
        <f>'Income Statement'!J10</f>
        <v>497</v>
      </c>
      <c r="C53" s="62">
        <f>'Income Statement'!E10</f>
        <v>366</v>
      </c>
      <c r="D53" s="62">
        <v>370</v>
      </c>
      <c r="E53" s="44"/>
      <c r="F53" s="59">
        <v>487</v>
      </c>
      <c r="G53" s="59">
        <v>228</v>
      </c>
      <c r="H53" s="54"/>
      <c r="I53" s="44"/>
      <c r="J53" s="59">
        <v>229</v>
      </c>
      <c r="K53" s="59">
        <v>553</v>
      </c>
      <c r="L53" s="59"/>
      <c r="M53" s="44"/>
      <c r="N53" s="59">
        <v>400</v>
      </c>
      <c r="O53" s="59">
        <v>671</v>
      </c>
      <c r="P53" s="59"/>
      <c r="Q53" s="44"/>
      <c r="R53" s="62">
        <v>1116</v>
      </c>
      <c r="S53" s="62">
        <v>1452</v>
      </c>
      <c r="T53" s="59"/>
      <c r="U53" s="44"/>
    </row>
    <row r="54" spans="1:21" x14ac:dyDescent="0.25">
      <c r="A54" s="68" t="s">
        <v>136</v>
      </c>
      <c r="B54" s="56">
        <f>SUM(B50:B53)</f>
        <v>5111</v>
      </c>
      <c r="C54" s="56">
        <f>SUM(C50:C53)</f>
        <v>2430</v>
      </c>
      <c r="D54" s="56">
        <f>SUM(D50:D53)</f>
        <v>2446</v>
      </c>
      <c r="E54" s="44"/>
      <c r="F54" s="56">
        <v>3252</v>
      </c>
      <c r="G54" s="56">
        <v>1799</v>
      </c>
      <c r="H54" s="56">
        <v>1812</v>
      </c>
      <c r="I54" s="44"/>
      <c r="J54" s="56">
        <v>1464</v>
      </c>
      <c r="K54" s="56">
        <v>4376</v>
      </c>
      <c r="L54" s="56">
        <v>4172</v>
      </c>
      <c r="M54" s="44"/>
      <c r="N54" s="56">
        <v>1737</v>
      </c>
      <c r="O54" s="56">
        <v>8597</v>
      </c>
      <c r="P54" s="56">
        <v>8184</v>
      </c>
      <c r="Q54" s="44"/>
      <c r="R54" s="56">
        <v>6453</v>
      </c>
      <c r="S54" s="56">
        <v>14772</v>
      </c>
      <c r="T54" s="56">
        <v>14167</v>
      </c>
      <c r="U54" s="44"/>
    </row>
    <row r="55" spans="1:21" x14ac:dyDescent="0.25">
      <c r="A55" s="44"/>
      <c r="B55" s="44"/>
      <c r="C55" s="44"/>
      <c r="D55" s="45"/>
      <c r="E55" s="73"/>
      <c r="F55" s="73"/>
      <c r="G55" s="45"/>
      <c r="H55" s="44"/>
      <c r="I55" s="73"/>
      <c r="J55" s="73"/>
      <c r="K55" s="45"/>
      <c r="L55" s="44"/>
      <c r="M55" s="73"/>
      <c r="N55" s="73"/>
      <c r="O55" s="45"/>
      <c r="P55" s="44"/>
      <c r="Q55" s="73"/>
      <c r="R55" s="73"/>
      <c r="S55" s="44"/>
      <c r="T55" s="44"/>
      <c r="U55" s="44"/>
    </row>
    <row r="56" spans="1:21" x14ac:dyDescent="0.25">
      <c r="A56" s="67" t="s">
        <v>137</v>
      </c>
      <c r="B56" s="56">
        <f>B12</f>
        <v>7026</v>
      </c>
      <c r="C56" s="56">
        <f>C12</f>
        <v>3923</v>
      </c>
      <c r="D56" s="71">
        <v>3923</v>
      </c>
      <c r="E56" s="44"/>
      <c r="F56" s="56">
        <v>4924</v>
      </c>
      <c r="G56" s="56">
        <v>1929</v>
      </c>
      <c r="H56" s="56">
        <v>1929</v>
      </c>
      <c r="I56" s="44"/>
      <c r="J56" s="56">
        <v>2534</v>
      </c>
      <c r="K56" s="56">
        <v>6256</v>
      </c>
      <c r="L56" s="56">
        <v>6256</v>
      </c>
      <c r="M56" s="44"/>
      <c r="N56" s="56">
        <v>2769</v>
      </c>
      <c r="O56" s="56">
        <v>11258</v>
      </c>
      <c r="P56" s="56">
        <v>11258</v>
      </c>
      <c r="Q56" s="44"/>
      <c r="R56" s="56">
        <v>10227</v>
      </c>
      <c r="S56" s="56">
        <v>19442</v>
      </c>
      <c r="T56" s="56">
        <v>19442</v>
      </c>
      <c r="U56" s="44"/>
    </row>
    <row r="57" spans="1:21" x14ac:dyDescent="0.25">
      <c r="A57" s="67"/>
      <c r="B57" s="53"/>
      <c r="C57" s="53"/>
      <c r="D57" s="54"/>
      <c r="E57" s="73"/>
      <c r="F57" s="73"/>
      <c r="G57" s="45"/>
      <c r="H57" s="44"/>
      <c r="I57" s="73"/>
      <c r="J57" s="73"/>
      <c r="K57" s="45"/>
      <c r="L57" s="44"/>
      <c r="M57" s="73"/>
      <c r="N57" s="73"/>
      <c r="O57" s="45"/>
      <c r="P57" s="44"/>
      <c r="Q57" s="73"/>
      <c r="R57" s="73"/>
      <c r="S57" s="44"/>
      <c r="T57" s="44"/>
      <c r="U57" s="44"/>
    </row>
    <row r="58" spans="1:21" x14ac:dyDescent="0.25">
      <c r="A58" s="67" t="s">
        <v>138</v>
      </c>
      <c r="B58" s="69">
        <f>B54/B56</f>
        <v>0.72744093367492169</v>
      </c>
      <c r="C58" s="69">
        <f>C54/C56</f>
        <v>0.61942391027275046</v>
      </c>
      <c r="D58" s="69">
        <f>D54/D56</f>
        <v>0.62350242161611014</v>
      </c>
      <c r="E58" s="44"/>
      <c r="F58" s="44">
        <v>0.66</v>
      </c>
      <c r="G58" s="44">
        <v>0.93</v>
      </c>
      <c r="H58" s="44">
        <v>0.94</v>
      </c>
      <c r="I58" s="44"/>
      <c r="J58" s="44">
        <v>0.57999999999999996</v>
      </c>
      <c r="K58" s="44">
        <v>0.7</v>
      </c>
      <c r="L58" s="44">
        <v>0.67</v>
      </c>
      <c r="M58" s="44"/>
      <c r="N58" s="44">
        <v>0.63</v>
      </c>
      <c r="O58" s="44">
        <v>0.76</v>
      </c>
      <c r="P58" s="44">
        <v>0.73</v>
      </c>
      <c r="Q58" s="44"/>
      <c r="R58" s="44">
        <v>0.63</v>
      </c>
      <c r="S58" s="44">
        <v>0.76</v>
      </c>
      <c r="T58" s="44">
        <v>0.73</v>
      </c>
      <c r="U58" s="44"/>
    </row>
    <row r="59" spans="1:21" x14ac:dyDescent="0.25">
      <c r="A59" s="44"/>
      <c r="B59" s="44"/>
      <c r="C59" s="44"/>
      <c r="D59" s="45"/>
      <c r="E59" s="73"/>
      <c r="F59" s="73"/>
      <c r="G59" s="44"/>
      <c r="H59" s="45"/>
      <c r="I59" s="73"/>
      <c r="J59" s="73"/>
      <c r="K59" s="44"/>
      <c r="L59" s="44"/>
      <c r="M59" s="73"/>
      <c r="N59" s="73"/>
      <c r="O59" s="45"/>
      <c r="P59" s="44"/>
      <c r="Q59" s="73"/>
      <c r="R59" s="73"/>
      <c r="S59" s="44"/>
      <c r="T59" s="44"/>
      <c r="U59" s="44"/>
    </row>
    <row r="60" spans="1:21" x14ac:dyDescent="0.25">
      <c r="A60" s="44"/>
      <c r="B60" s="44"/>
      <c r="C60" s="44"/>
      <c r="D60" s="45"/>
      <c r="E60" s="73"/>
      <c r="F60" s="73"/>
      <c r="G60" s="44"/>
      <c r="H60" s="45"/>
      <c r="I60" s="73"/>
      <c r="J60" s="73"/>
      <c r="K60" s="44"/>
      <c r="L60" s="44"/>
      <c r="M60" s="73"/>
      <c r="N60" s="73"/>
      <c r="O60" s="45"/>
      <c r="P60" s="44"/>
      <c r="Q60" s="73"/>
      <c r="R60" s="73"/>
      <c r="S60" s="44"/>
      <c r="T60" s="44"/>
      <c r="U60" s="44"/>
    </row>
    <row r="61" spans="1:21" x14ac:dyDescent="0.25">
      <c r="A61" s="44"/>
      <c r="B61" s="44"/>
      <c r="C61" s="44"/>
      <c r="D61" s="45"/>
      <c r="E61" s="73"/>
      <c r="F61" s="73"/>
      <c r="G61" s="44"/>
      <c r="H61" s="45"/>
      <c r="I61" s="73"/>
      <c r="J61" s="73"/>
      <c r="K61" s="44"/>
      <c r="L61" s="44"/>
      <c r="M61" s="73"/>
      <c r="N61" s="73"/>
      <c r="O61" s="45"/>
      <c r="P61" s="44"/>
      <c r="Q61" s="73"/>
      <c r="R61" s="73"/>
      <c r="S61" s="44"/>
      <c r="T61" s="44"/>
      <c r="U61" s="44"/>
    </row>
  </sheetData>
  <mergeCells count="96">
    <mergeCell ref="E61:F61"/>
    <mergeCell ref="I61:J61"/>
    <mergeCell ref="M61:N61"/>
    <mergeCell ref="Q61:R61"/>
    <mergeCell ref="E59:F59"/>
    <mergeCell ref="I59:J59"/>
    <mergeCell ref="M59:N59"/>
    <mergeCell ref="Q59:R59"/>
    <mergeCell ref="E60:F60"/>
    <mergeCell ref="I60:J60"/>
    <mergeCell ref="M60:N60"/>
    <mergeCell ref="Q60:R60"/>
    <mergeCell ref="E55:F55"/>
    <mergeCell ref="I55:J55"/>
    <mergeCell ref="M55:N55"/>
    <mergeCell ref="Q55:R55"/>
    <mergeCell ref="E57:F57"/>
    <mergeCell ref="I57:J57"/>
    <mergeCell ref="M57:N57"/>
    <mergeCell ref="Q57:R57"/>
    <mergeCell ref="E45:F45"/>
    <mergeCell ref="I45:J45"/>
    <mergeCell ref="M45:N45"/>
    <mergeCell ref="Q45:R45"/>
    <mergeCell ref="E46:F46"/>
    <mergeCell ref="I46:J46"/>
    <mergeCell ref="M46:N46"/>
    <mergeCell ref="Q46:R46"/>
    <mergeCell ref="E41:F41"/>
    <mergeCell ref="I41:J41"/>
    <mergeCell ref="M41:N41"/>
    <mergeCell ref="Q41:R41"/>
    <mergeCell ref="E43:F43"/>
    <mergeCell ref="I43:J43"/>
    <mergeCell ref="M43:N43"/>
    <mergeCell ref="Q43:R43"/>
    <mergeCell ref="E35:F35"/>
    <mergeCell ref="I35:J35"/>
    <mergeCell ref="M35:N35"/>
    <mergeCell ref="Q35:R35"/>
    <mergeCell ref="E36:F36"/>
    <mergeCell ref="I36:J36"/>
    <mergeCell ref="M36:N36"/>
    <mergeCell ref="Q36:R36"/>
    <mergeCell ref="E32:F32"/>
    <mergeCell ref="I32:J32"/>
    <mergeCell ref="M32:N32"/>
    <mergeCell ref="Q32:R32"/>
    <mergeCell ref="E34:F34"/>
    <mergeCell ref="I34:J34"/>
    <mergeCell ref="M34:N34"/>
    <mergeCell ref="Q34:R34"/>
    <mergeCell ref="E25:F25"/>
    <mergeCell ref="I25:J25"/>
    <mergeCell ref="M25:N25"/>
    <mergeCell ref="Q25:R25"/>
    <mergeCell ref="E30:F30"/>
    <mergeCell ref="I30:J30"/>
    <mergeCell ref="M30:N30"/>
    <mergeCell ref="Q30:R30"/>
    <mergeCell ref="E22:F22"/>
    <mergeCell ref="I22:J22"/>
    <mergeCell ref="M22:N22"/>
    <mergeCell ref="Q22:R22"/>
    <mergeCell ref="E24:F24"/>
    <mergeCell ref="I24:J24"/>
    <mergeCell ref="M24:N24"/>
    <mergeCell ref="Q24:R24"/>
    <mergeCell ref="E18:F18"/>
    <mergeCell ref="I18:J18"/>
    <mergeCell ref="M18:N18"/>
    <mergeCell ref="I20:J20"/>
    <mergeCell ref="M20:N20"/>
    <mergeCell ref="E15:F15"/>
    <mergeCell ref="I15:J15"/>
    <mergeCell ref="M15:N15"/>
    <mergeCell ref="Q15:R15"/>
    <mergeCell ref="E16:F16"/>
    <mergeCell ref="I16:J16"/>
    <mergeCell ref="M16:N16"/>
    <mergeCell ref="Q16:R16"/>
    <mergeCell ref="E11:F11"/>
    <mergeCell ref="I11:J11"/>
    <mergeCell ref="M11:N11"/>
    <mergeCell ref="Q11:R11"/>
    <mergeCell ref="E14:F14"/>
    <mergeCell ref="I14:J14"/>
    <mergeCell ref="M14:N14"/>
    <mergeCell ref="Q14:R14"/>
    <mergeCell ref="E1:F1"/>
    <mergeCell ref="I1:J1"/>
    <mergeCell ref="M1:N1"/>
    <mergeCell ref="Q1:R1"/>
    <mergeCell ref="E2:F2"/>
    <mergeCell ref="I2:J2"/>
    <mergeCell ref="M2:N2"/>
  </mergeCells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p:properties xmlns:p="http://schemas.microsoft.com/office/2006/metadata/properties" xmlns:xsi="http://www.w3.org/2001/XMLSchema-instance">
  <documentManagement>
    <_dlc_DocId xmlns="9415a8b7-dc6c-4703-921b-c3bd40dfa113">CEP75RKCEUZV-1429125831-53070</_dlc_DocId>
    <_dlc_DocIdUrl xmlns="9415a8b7-dc6c-4703-921b-c3bd40dfa113">
      <Url>https://scandinavianairlinessystem.sharepoint.com/sites/S01628/_layouts/15/DocIdRedir.aspx?ID=CEP75RKCEUZV-1429125831-53070</Url>
      <Description>CEP75RKCEUZV-1429125831-53070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37284629F0D0A4A8C8E2F6434093CEF" ma:contentTypeVersion="11" ma:contentTypeDescription="Create a new document." ma:contentTypeScope="" ma:versionID="81cff8f5a453d733df80d86d4c124ef8">
  <xsd:schema xmlns:xsd="http://www.w3.org/2001/XMLSchema" xmlns:xs="http://www.w3.org/2001/XMLSchema" xmlns:p="http://schemas.microsoft.com/office/2006/metadata/properties" xmlns:ns2="9415a8b7-dc6c-4703-921b-c3bd40dfa113" xmlns:ns3="e2b8da78-8c70-4e54-8e3f-3e64575ae984" targetNamespace="http://schemas.microsoft.com/office/2006/metadata/properties" ma:root="true" ma:fieldsID="241b01e174e77f59453dd53a34f5ca23" ns2:_="" ns3:_="">
    <xsd:import namespace="9415a8b7-dc6c-4703-921b-c3bd40dfa113"/>
    <xsd:import namespace="e2b8da78-8c70-4e54-8e3f-3e64575ae98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OCR" minOccurs="0"/>
                <xsd:element ref="ns2:_dlc_DocId" minOccurs="0"/>
                <xsd:element ref="ns2:_dlc_DocIdUrl" minOccurs="0"/>
                <xsd:element ref="ns2:_dlc_DocIdPersistId" minOccurs="0"/>
                <xsd:element ref="ns3:MediaServiceAutoKeyPoints" minOccurs="0"/>
                <xsd:element ref="ns3:MediaServiceKeyPoints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415a8b7-dc6c-4703-921b-c3bd40dfa113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15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16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7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b8da78-8c70-4e54-8e3f-3e64575ae98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MediaServiceAutoTags" ma:internalName="MediaServiceAutoTags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5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AEF24E0-0BC4-464C-83C3-16A05863404B}">
  <ds:schemaRefs>
    <ds:schemaRef ds:uri="http://schemas.microsoft.com/office/2006/metadata/properties"/>
    <ds:schemaRef ds:uri="e2b8da78-8c70-4e54-8e3f-3e64575ae984"/>
    <ds:schemaRef ds:uri="http://purl.org/dc/terms/"/>
    <ds:schemaRef ds:uri="http://schemas.openxmlformats.org/package/2006/metadata/core-properties"/>
    <ds:schemaRef ds:uri="9415a8b7-dc6c-4703-921b-c3bd40dfa113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163984F-5BD3-44E0-9E91-9CDDC9D7F03C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7DA9A27-2D2A-4A0E-981D-D0BDC974C91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415a8b7-dc6c-4703-921b-c3bd40dfa113"/>
    <ds:schemaRef ds:uri="e2b8da78-8c70-4e54-8e3f-3e64575ae98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119C7B4-1686-406D-84AC-E38953E8E5B5}">
  <ds:schemaRefs>
    <ds:schemaRef ds:uri="http://schemas.microsoft.com/sharepoint/events"/>
  </ds:schemaRefs>
</ds:datastoreItem>
</file>

<file path=customXml/itemProps5.xml><?xml version="1.0" encoding="utf-8"?>
<ds:datastoreItem xmlns:ds="http://schemas.openxmlformats.org/officeDocument/2006/customXml" ds:itemID="{0BAF7522-6C56-4A56-AF27-0D9175A38E46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Income Statement</vt:lpstr>
      <vt:lpstr>Balance Sheet</vt:lpstr>
      <vt:lpstr>Cash-Flow</vt:lpstr>
      <vt:lpstr>CASK, Yield, PASK &amp; RASK							</vt:lpstr>
      <vt:lpstr>'Income Statement'!Print_Titles</vt:lpstr>
    </vt:vector>
  </TitlesOfParts>
  <Manager/>
  <Company>SAS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Erik Stenvall</dc:creator>
  <cp:keywords/>
  <dc:description/>
  <cp:lastModifiedBy>Bergström, Louise (STOUX)</cp:lastModifiedBy>
  <cp:revision/>
  <dcterms:created xsi:type="dcterms:W3CDTF">2009-07-29T11:57:43Z</dcterms:created>
  <dcterms:modified xsi:type="dcterms:W3CDTF">2021-11-29T20:51:16Z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0x010100437284629F0D0A4A8C8E2F6434093CEF</vt:lpwstr>
  </property>
  <property fmtid="{D5CDD505-2E9C-101B-9397-08002B2CF9AE}" pid="3" name="_dlc_ExpireDate">
    <vt:lpwstr>2022-01-31T11:42:10Z</vt:lpwstr>
  </property>
  <property fmtid="{D5CDD505-2E9C-101B-9397-08002B2CF9AE}" pid="4" name="_dlc_policyId">
    <vt:lpwstr/>
  </property>
  <property fmtid="{D5CDD505-2E9C-101B-9397-08002B2CF9AE}" pid="5" name="ItemRetentionFormula">
    <vt:lpwstr/>
  </property>
  <property fmtid="{D5CDD505-2E9C-101B-9397-08002B2CF9AE}" pid="6" name="SV_QUERY_LIST_4F35BF76-6C0D-4D9B-82B2-816C12CF3733">
    <vt:lpwstr>empty_477D106A-C0D6-4607-AEBD-E2C9D60EA279</vt:lpwstr>
  </property>
  <property fmtid="{D5CDD505-2E9C-101B-9397-08002B2CF9AE}" pid="7" name="QFMSP source name">
    <vt:lpwstr/>
  </property>
  <property fmtid="{D5CDD505-2E9C-101B-9397-08002B2CF9AE}" pid="8" name="_dlc_DocIdItemGuid">
    <vt:lpwstr>467e026f-e3a3-4a99-a6eb-17bf8bb9a625</vt:lpwstr>
  </property>
</Properties>
</file>