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16\AppData\Local\Microsoft\Windows\INetCache\Content.Outlook\QM2HV330\"/>
    </mc:Choice>
  </mc:AlternateContent>
  <xr:revisionPtr revIDLastSave="0" documentId="8_{4AD4BB31-9991-4C05-8836-E18A234C8B7A}" xr6:coauthVersionLast="47" xr6:coauthVersionMax="47" xr10:uidLastSave="{00000000-0000-0000-0000-000000000000}"/>
  <bookViews>
    <workbookView xWindow="-26370" yWindow="3180" windowWidth="21600" windowHeight="12675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" l="1"/>
  <c r="J80" i="1"/>
  <c r="B28" i="2"/>
  <c r="C28" i="2"/>
  <c r="B30" i="3"/>
  <c r="B13" i="2" l="1"/>
  <c r="B16" i="2" s="1"/>
  <c r="K96" i="1"/>
  <c r="K95" i="1"/>
  <c r="K94" i="1"/>
  <c r="K90" i="1"/>
  <c r="K79" i="1"/>
  <c r="K24" i="1"/>
  <c r="K12" i="1"/>
  <c r="C13" i="2"/>
  <c r="C16" i="2" s="1"/>
  <c r="B25" i="3"/>
  <c r="B17" i="3"/>
  <c r="B12" i="3"/>
  <c r="J96" i="1"/>
  <c r="J95" i="1"/>
  <c r="J94" i="1"/>
  <c r="J90" i="1"/>
  <c r="J79" i="1"/>
  <c r="J24" i="1"/>
  <c r="J12" i="1"/>
  <c r="D21" i="2"/>
  <c r="B32" i="3" l="1"/>
  <c r="B18" i="3"/>
  <c r="B22" i="2"/>
  <c r="B29" i="2" s="1"/>
  <c r="B32" i="2" s="1"/>
  <c r="K27" i="1"/>
  <c r="K30" i="1" s="1"/>
  <c r="C22" i="2"/>
  <c r="C29" i="2" s="1"/>
  <c r="C32" i="2" s="1"/>
  <c r="J27" i="1"/>
  <c r="J30" i="1" s="1"/>
  <c r="C30" i="3" l="1"/>
  <c r="D13" i="2" l="1"/>
  <c r="D16" i="2" s="1"/>
  <c r="C25" i="3"/>
  <c r="C32" i="3" s="1"/>
  <c r="C17" i="3"/>
  <c r="C12" i="3"/>
  <c r="C18" i="3" l="1"/>
  <c r="D22" i="2"/>
  <c r="D29" i="2" s="1"/>
  <c r="D32" i="2" s="1"/>
  <c r="I12" i="1" l="1"/>
  <c r="I96" i="1"/>
  <c r="I95" i="1"/>
  <c r="I94" i="1"/>
  <c r="I90" i="1"/>
  <c r="I79" i="1"/>
  <c r="I24" i="1"/>
  <c r="I27" i="1" l="1"/>
  <c r="I30" i="1" s="1"/>
  <c r="E21" i="2"/>
  <c r="D30" i="3"/>
  <c r="I38" i="1" l="1"/>
  <c r="I44" i="1" s="1"/>
  <c r="E13" i="2"/>
  <c r="E16" i="2" s="1"/>
  <c r="D25" i="3"/>
  <c r="D17" i="3"/>
  <c r="D12" i="3"/>
  <c r="E12" i="3"/>
  <c r="E17" i="3"/>
  <c r="E25" i="3"/>
  <c r="E30" i="3"/>
  <c r="E36" i="3"/>
  <c r="H96" i="1"/>
  <c r="H95" i="1"/>
  <c r="H94" i="1"/>
  <c r="H79" i="1"/>
  <c r="F28" i="2"/>
  <c r="E18" i="3" l="1"/>
  <c r="I102" i="1"/>
  <c r="I47" i="1"/>
  <c r="I51" i="1" s="1"/>
  <c r="E32" i="3"/>
  <c r="D32" i="3"/>
  <c r="D18" i="3"/>
  <c r="E22" i="2"/>
  <c r="E29" i="2" s="1"/>
  <c r="E32" i="2" s="1"/>
  <c r="J38" i="1" l="1"/>
  <c r="J44" i="1" s="1"/>
  <c r="J47" i="1" s="1"/>
  <c r="J51" i="1" s="1"/>
  <c r="G33" i="1"/>
  <c r="F33" i="1"/>
  <c r="F32" i="1"/>
  <c r="E32" i="1"/>
  <c r="E33" i="1"/>
  <c r="D32" i="1"/>
  <c r="D33" i="1"/>
  <c r="C33" i="1"/>
  <c r="C32" i="1"/>
  <c r="B33" i="1"/>
  <c r="B32" i="1"/>
  <c r="G79" i="1"/>
  <c r="F13" i="2"/>
  <c r="F16" i="2" s="1"/>
  <c r="G96" i="1"/>
  <c r="G95" i="1"/>
  <c r="G94" i="1"/>
  <c r="G90" i="1"/>
  <c r="G24" i="1"/>
  <c r="G12" i="1"/>
  <c r="G28" i="2"/>
  <c r="G13" i="2"/>
  <c r="G16" i="2" s="1"/>
  <c r="G22" i="2" s="1"/>
  <c r="J102" i="1" l="1"/>
  <c r="G29" i="2"/>
  <c r="G32" i="2" s="1"/>
  <c r="F22" i="2"/>
  <c r="F29" i="2" s="1"/>
  <c r="F32" i="2" s="1"/>
  <c r="G27" i="1"/>
  <c r="G30" i="1" s="1"/>
  <c r="G38" i="1" s="1"/>
  <c r="G44" i="1" l="1"/>
  <c r="G30" i="3"/>
  <c r="H30" i="3"/>
  <c r="I30" i="3"/>
  <c r="G25" i="3"/>
  <c r="H25" i="3"/>
  <c r="I25" i="3"/>
  <c r="H28" i="2"/>
  <c r="G47" i="1" l="1"/>
  <c r="G51" i="1" s="1"/>
  <c r="G102" i="1"/>
  <c r="I20" i="3" l="1"/>
  <c r="I11" i="3"/>
  <c r="I7" i="3"/>
  <c r="H20" i="3"/>
  <c r="H11" i="3"/>
  <c r="H7" i="3"/>
  <c r="H12" i="3" s="1"/>
  <c r="G20" i="3"/>
  <c r="G11" i="3"/>
  <c r="G7" i="3"/>
  <c r="F20" i="3"/>
  <c r="F11" i="3"/>
  <c r="F7" i="3"/>
  <c r="G12" i="3" l="1"/>
  <c r="I12" i="3"/>
  <c r="E42" i="1"/>
  <c r="E43" i="1"/>
  <c r="E90" i="1" l="1"/>
  <c r="E81" i="1"/>
  <c r="E96" i="1" s="1"/>
  <c r="E80" i="1"/>
  <c r="E95" i="1" s="1"/>
  <c r="E24" i="1"/>
  <c r="E12" i="1"/>
  <c r="F36" i="3"/>
  <c r="F25" i="3"/>
  <c r="E27" i="1" l="1"/>
  <c r="E30" i="1" s="1"/>
  <c r="E38" i="1" s="1"/>
  <c r="E44" i="1" s="1"/>
  <c r="D89" i="1"/>
  <c r="B89" i="1"/>
  <c r="D21" i="1"/>
  <c r="D23" i="1"/>
  <c r="B23" i="1"/>
  <c r="B21" i="1"/>
  <c r="K38" i="1"/>
  <c r="K44" i="1" s="1"/>
  <c r="K47" i="1" l="1"/>
  <c r="K51" i="1" s="1"/>
  <c r="K102" i="1"/>
  <c r="E97" i="1"/>
  <c r="E102" i="1" s="1"/>
  <c r="E47" i="1"/>
  <c r="E51" i="1" s="1"/>
  <c r="D46" i="1"/>
  <c r="C46" i="1"/>
  <c r="B46" i="1"/>
  <c r="I18" i="2"/>
  <c r="I9" i="2"/>
  <c r="I8" i="2"/>
  <c r="J9" i="2"/>
  <c r="J8" i="2"/>
  <c r="K18" i="2" l="1"/>
  <c r="K9" i="2"/>
  <c r="K8" i="2"/>
  <c r="F90" i="1"/>
  <c r="D90" i="1"/>
  <c r="C90" i="1"/>
  <c r="B90" i="1"/>
  <c r="F24" i="1"/>
  <c r="D24" i="1"/>
  <c r="C24" i="1"/>
  <c r="B24" i="1"/>
  <c r="H13" i="2" l="1"/>
  <c r="H16" i="2" s="1"/>
  <c r="F30" i="3"/>
  <c r="F17" i="3"/>
  <c r="F12" i="3"/>
  <c r="F12" i="1"/>
  <c r="F27" i="1" s="1"/>
  <c r="F30" i="1" s="1"/>
  <c r="F38" i="1" s="1"/>
  <c r="F44" i="1" s="1"/>
  <c r="F47" i="1" s="1"/>
  <c r="F51" i="1" s="1"/>
  <c r="H22" i="2" l="1"/>
  <c r="H29" i="2" s="1"/>
  <c r="F32" i="3"/>
  <c r="F18" i="3"/>
  <c r="H32" i="2" l="1"/>
  <c r="F102" i="1"/>
  <c r="D12" i="1"/>
  <c r="D27" i="1" s="1"/>
  <c r="D30" i="1" s="1"/>
  <c r="D38" i="1" s="1"/>
  <c r="D44" i="1" s="1"/>
  <c r="D47" i="1" s="1"/>
  <c r="D51" i="1" s="1"/>
  <c r="G17" i="3"/>
  <c r="I13" i="2"/>
  <c r="I16" i="2" s="1"/>
  <c r="I22" i="2" l="1"/>
  <c r="I29" i="2" s="1"/>
  <c r="I32" i="2" s="1"/>
  <c r="G32" i="3"/>
  <c r="G18" i="3"/>
  <c r="D97" i="1" l="1"/>
  <c r="D102" i="1" s="1"/>
  <c r="H32" i="3"/>
  <c r="H17" i="3"/>
  <c r="H18" i="3" l="1"/>
  <c r="C12" i="1"/>
  <c r="C27" i="1" s="1"/>
  <c r="C30" i="1" s="1"/>
  <c r="C38" i="1" s="1"/>
  <c r="C44" i="1" s="1"/>
  <c r="C47" i="1" s="1"/>
  <c r="C51" i="1" s="1"/>
  <c r="C97" i="1" l="1"/>
  <c r="C102" i="1" s="1"/>
  <c r="J13" i="2"/>
  <c r="J16" i="2" s="1"/>
  <c r="J22" i="2" l="1"/>
  <c r="J29" i="2" s="1"/>
  <c r="J32" i="2" s="1"/>
  <c r="B96" i="1"/>
  <c r="B95" i="1"/>
  <c r="B94" i="1"/>
  <c r="B12" i="1"/>
  <c r="B27" i="1" s="1"/>
  <c r="B30" i="1" s="1"/>
  <c r="B38" i="1" s="1"/>
  <c r="B44" i="1" s="1"/>
  <c r="B47" i="1" s="1"/>
  <c r="B51" i="1" s="1"/>
  <c r="I17" i="3"/>
  <c r="K13" i="2"/>
  <c r="K16" i="2" s="1"/>
  <c r="K22" i="2" l="1"/>
  <c r="K29" i="2" s="1"/>
  <c r="K32" i="2" s="1"/>
  <c r="I32" i="3"/>
  <c r="I18" i="3"/>
  <c r="B97" i="1" l="1"/>
  <c r="B102" i="1" s="1"/>
  <c r="H24" i="1" l="1"/>
  <c r="H12" i="1" l="1"/>
  <c r="H27" i="1" s="1"/>
  <c r="H30" i="1" s="1"/>
  <c r="H38" i="1" l="1"/>
  <c r="H44" i="1" s="1"/>
  <c r="H47" i="1" l="1"/>
  <c r="H51" i="1" s="1"/>
  <c r="H102" i="1"/>
  <c r="H90" i="1" l="1"/>
</calcChain>
</file>

<file path=xl/sharedStrings.xml><?xml version="1.0" encoding="utf-8"?>
<sst xmlns="http://schemas.openxmlformats.org/spreadsheetml/2006/main" count="192" uniqueCount="118">
  <si>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</si>
  <si>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</si>
  <si>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</si>
  <si>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</si>
  <si>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</si>
  <si>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</si>
  <si>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</si>
  <si>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</si>
  <si>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</si>
  <si>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</si>
  <si>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</si>
  <si>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</si>
  <si>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</si>
  <si>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</si>
  <si>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</si>
  <si>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</si>
  <si>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</si>
  <si>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</si>
  <si>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</si>
  <si>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</si>
  <si>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</si>
  <si>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</si>
  <si>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</si>
  <si>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</si>
  <si>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</si>
  <si>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</si>
  <si>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</si>
  <si>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</si>
  <si>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</si>
  <si>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</si>
  <si>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</si>
  <si>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</si>
  <si>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</si>
  <si>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</si>
  <si>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</si>
  <si>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</si>
  <si>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</si>
  <si>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</si>
  <si>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</si>
  <si>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</si>
  <si>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</si>
  <si>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</si>
  <si>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</si>
  <si>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</si>
  <si>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</si>
  <si>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</si>
  <si>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</si>
  <si>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</si>
  <si>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</si>
  <si>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</si>
  <si>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</si>
  <si>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</si>
  <si>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</si>
  <si>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</si>
  <si>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</si>
  <si>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</si>
  <si>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</si>
  <si>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</si>
  <si>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</si>
  <si>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</si>
  <si>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</si>
  <si>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</si>
  <si>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</si>
  <si>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</si>
  <si>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</si>
  <si>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</si>
  <si>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</si>
  <si>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</si>
  <si>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</si>
  <si>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</si>
  <si>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</si>
  <si>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</si>
  <si>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</si>
  <si>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</si>
  <si>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</si>
  <si>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</si>
  <si>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</si>
  <si>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</si>
  <si>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</si>
  <si>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</si>
  <si>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</si>
  <si>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</si>
  <si>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</si>
  <si>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</si>
  <si>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</si>
  <si>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</si>
  <si>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</si>
  <si>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</si>
  <si>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</si>
  <si>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</si>
  <si>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</si>
  <si>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</si>
  <si>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</si>
  <si>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</si>
  <si>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</si>
  <si>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</si>
  <si>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</si>
  <si>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</si>
  <si>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</si>
  <si>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</si>
  <si>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</si>
  <si>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</si>
  <si>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</si>
  <si>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</si>
  <si>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</si>
  <si>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</si>
  <si>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</si>
  <si>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</si>
  <si>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</si>
  <si>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</si>
  <si>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</si>
  <si>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</si>
  <si>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</si>
  <si>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2021-2022</t>
  </si>
  <si>
    <t>Okt 31,</t>
  </si>
  <si>
    <t>OKT</t>
  </si>
  <si>
    <t>Write-down of fixed assets</t>
  </si>
  <si>
    <t>Fee DIP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</si>
</sst>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3"/>
  <sheetViews>
    <sheetView tabSelected="1" zoomScale="110" zoomScaleNormal="110" workbookViewId="0">
      <pane xSplit="1" ySplit="6" topLeftCell="B46" activePane="bottomRight" state="frozen"/>
      <selection activeCell="G22" sqref="G22"/>
      <selection pane="topRight" activeCell="G22" sqref="G22"/>
      <selection pane="bottomLeft" activeCell="G22" sqref="G22"/>
      <selection pane="bottomRight" activeCell="L54" sqref="L54"/>
    </sheetView>
  </sheetViews>
  <sheetFormatPr defaultColWidth="11.42578125" defaultRowHeight="15.75" x14ac:dyDescent="0.25"/>
  <cols>
    <col min="1" max="1" width="35.7109375" style="18" customWidth="1"/>
    <col min="2" max="2" width="9.85546875" style="14" customWidth="1"/>
    <col min="3" max="4" width="9.5703125" style="14" customWidth="1"/>
    <col min="5" max="5" width="9.85546875" style="14" customWidth="1"/>
    <col min="6" max="6" width="9.5703125" style="14" customWidth="1"/>
    <col min="7" max="11" width="9.85546875" style="14" customWidth="1"/>
    <col min="12" max="16384" width="11.42578125" style="14"/>
  </cols>
  <sheetData>
    <row r="1" spans="1:11" ht="26.25" x14ac:dyDescent="0.4">
      <c r="A1" s="29" t="s">
        <v>0</v>
      </c>
    </row>
    <row r="2" spans="1:11" s="1" customFormat="1" ht="12" x14ac:dyDescent="0.2"/>
    <row r="3" spans="1:11" s="1" customFormat="1" ht="12" x14ac:dyDescent="0.2"/>
    <row r="4" spans="1:11" s="1" customFormat="1" ht="12" x14ac:dyDescent="0.2">
      <c r="A4" s="32"/>
      <c r="B4" s="2" t="s">
        <v>108</v>
      </c>
      <c r="C4" s="2">
        <v>2021</v>
      </c>
      <c r="D4" s="2">
        <v>2021</v>
      </c>
      <c r="E4" s="2">
        <v>2021</v>
      </c>
      <c r="F4" s="2" t="s">
        <v>108</v>
      </c>
      <c r="G4" s="2" t="s">
        <v>113</v>
      </c>
      <c r="H4" s="2">
        <v>2022</v>
      </c>
      <c r="I4" s="2">
        <v>2022</v>
      </c>
      <c r="J4" s="2">
        <v>2022</v>
      </c>
      <c r="K4" s="2" t="s">
        <v>113</v>
      </c>
    </row>
    <row r="5" spans="1:11" s="1" customFormat="1" ht="12" x14ac:dyDescent="0.2">
      <c r="A5" s="27" t="s">
        <v>1</v>
      </c>
      <c r="B5" s="15" t="s">
        <v>4</v>
      </c>
      <c r="C5" s="15" t="s">
        <v>5</v>
      </c>
      <c r="D5" s="15" t="s">
        <v>2</v>
      </c>
      <c r="E5" s="15" t="s">
        <v>3</v>
      </c>
      <c r="F5" s="15" t="s">
        <v>4</v>
      </c>
      <c r="G5" s="15" t="s">
        <v>4</v>
      </c>
      <c r="H5" s="15" t="s">
        <v>5</v>
      </c>
      <c r="I5" s="15" t="s">
        <v>2</v>
      </c>
      <c r="J5" s="15" t="s">
        <v>3</v>
      </c>
      <c r="K5" s="15" t="s">
        <v>4</v>
      </c>
    </row>
    <row r="6" spans="1:11" s="1" customFormat="1" ht="12" x14ac:dyDescent="0.2">
      <c r="A6" s="32" t="s">
        <v>6</v>
      </c>
      <c r="B6" s="16" t="s">
        <v>9</v>
      </c>
      <c r="C6" s="16" t="s">
        <v>10</v>
      </c>
      <c r="D6" s="16" t="s">
        <v>7</v>
      </c>
      <c r="E6" s="16" t="s">
        <v>8</v>
      </c>
      <c r="F6" s="16" t="s">
        <v>8</v>
      </c>
      <c r="G6" s="16" t="s">
        <v>9</v>
      </c>
      <c r="H6" s="16" t="s">
        <v>10</v>
      </c>
      <c r="I6" s="16" t="s">
        <v>7</v>
      </c>
      <c r="J6" s="16" t="s">
        <v>8</v>
      </c>
      <c r="K6" s="16" t="s">
        <v>8</v>
      </c>
    </row>
    <row r="7" spans="1:11" s="1" customFormat="1" ht="12" x14ac:dyDescent="0.2">
      <c r="A7" s="40" t="s">
        <v>11</v>
      </c>
      <c r="B7" s="3">
        <v>1097</v>
      </c>
      <c r="C7" s="3">
        <v>950</v>
      </c>
      <c r="D7" s="3">
        <v>2357</v>
      </c>
      <c r="E7" s="3">
        <v>3997</v>
      </c>
      <c r="F7" s="3">
        <v>8401</v>
      </c>
      <c r="G7" s="3">
        <v>3506</v>
      </c>
      <c r="H7" s="3">
        <v>4809</v>
      </c>
      <c r="I7" s="3">
        <v>7163</v>
      </c>
      <c r="J7" s="3">
        <v>7747</v>
      </c>
      <c r="K7" s="3">
        <v>23225</v>
      </c>
    </row>
    <row r="8" spans="1:11" s="1" customFormat="1" ht="12" x14ac:dyDescent="0.2">
      <c r="A8" s="40" t="s">
        <v>12</v>
      </c>
      <c r="B8" s="3">
        <v>9</v>
      </c>
      <c r="C8" s="3">
        <v>3</v>
      </c>
      <c r="D8" s="3">
        <v>105</v>
      </c>
      <c r="E8" s="3">
        <v>267</v>
      </c>
      <c r="F8" s="3">
        <v>384</v>
      </c>
      <c r="G8" s="3">
        <v>168</v>
      </c>
      <c r="H8" s="3">
        <v>188</v>
      </c>
      <c r="I8" s="3">
        <v>641</v>
      </c>
      <c r="J8" s="3">
        <v>706</v>
      </c>
      <c r="K8" s="3">
        <v>1703</v>
      </c>
    </row>
    <row r="9" spans="1:11" s="1" customFormat="1" ht="12" x14ac:dyDescent="0.2">
      <c r="A9" s="40" t="s">
        <v>109</v>
      </c>
      <c r="B9" s="3">
        <v>231</v>
      </c>
      <c r="C9" s="3">
        <v>282</v>
      </c>
      <c r="D9" s="3">
        <v>303</v>
      </c>
      <c r="E9" s="3">
        <v>350</v>
      </c>
      <c r="F9" s="3">
        <v>1166</v>
      </c>
      <c r="G9" s="3">
        <v>464</v>
      </c>
      <c r="H9" s="3">
        <v>423</v>
      </c>
      <c r="I9" s="3">
        <v>323</v>
      </c>
      <c r="J9" s="3">
        <v>401</v>
      </c>
      <c r="K9" s="3">
        <v>1611</v>
      </c>
    </row>
    <row r="10" spans="1:11" s="1" customFormat="1" ht="12" x14ac:dyDescent="0.2">
      <c r="A10" s="40" t="s">
        <v>13</v>
      </c>
      <c r="B10" s="3">
        <v>400</v>
      </c>
      <c r="C10" s="3">
        <v>229</v>
      </c>
      <c r="D10" s="3">
        <v>487</v>
      </c>
      <c r="E10" s="3">
        <v>497</v>
      </c>
      <c r="F10" s="3">
        <v>1613</v>
      </c>
      <c r="G10" s="3">
        <v>686</v>
      </c>
      <c r="H10" s="3">
        <v>807</v>
      </c>
      <c r="I10" s="3">
        <v>706</v>
      </c>
      <c r="J10" s="3">
        <v>783</v>
      </c>
      <c r="K10" s="3">
        <v>2982</v>
      </c>
    </row>
    <row r="11" spans="1:11" s="1" customFormat="1" ht="12" x14ac:dyDescent="0.2">
      <c r="A11" s="6" t="s">
        <v>14</v>
      </c>
      <c r="B11" s="4">
        <v>545</v>
      </c>
      <c r="C11" s="4">
        <v>468</v>
      </c>
      <c r="D11" s="4">
        <v>730</v>
      </c>
      <c r="E11" s="4">
        <v>651</v>
      </c>
      <c r="F11" s="4">
        <v>2394</v>
      </c>
      <c r="G11" s="4">
        <v>721</v>
      </c>
      <c r="H11" s="4">
        <v>821</v>
      </c>
      <c r="I11" s="4">
        <v>-253</v>
      </c>
      <c r="J11" s="4">
        <v>1014</v>
      </c>
      <c r="K11" s="4">
        <v>2303</v>
      </c>
    </row>
    <row r="12" spans="1:11" s="27" customFormat="1" ht="12" x14ac:dyDescent="0.2">
      <c r="A12" s="28" t="s">
        <v>15</v>
      </c>
      <c r="B12" s="13">
        <f t="shared" ref="B12:D12" si="0">SUM(B7:B11)</f>
        <v>2282</v>
      </c>
      <c r="C12" s="13">
        <f t="shared" si="0"/>
        <v>1932</v>
      </c>
      <c r="D12" s="13">
        <f t="shared" si="0"/>
        <v>3982</v>
      </c>
      <c r="E12" s="13">
        <f t="shared" ref="E12" si="1">SUM(E7:E11)</f>
        <v>5762</v>
      </c>
      <c r="F12" s="13">
        <f t="shared" ref="F12:G12" si="2">SUM(F7:F11)</f>
        <v>13958</v>
      </c>
      <c r="G12" s="13">
        <f t="shared" si="2"/>
        <v>5545</v>
      </c>
      <c r="H12" s="13">
        <f t="shared" ref="H12:I12" si="3">SUM(H7:H11)</f>
        <v>7048</v>
      </c>
      <c r="I12" s="13">
        <f t="shared" si="3"/>
        <v>8580</v>
      </c>
      <c r="J12" s="13">
        <f t="shared" ref="J12:K12" si="4">SUM(J7:J11)</f>
        <v>10651</v>
      </c>
      <c r="K12" s="13">
        <f t="shared" si="4"/>
        <v>31824</v>
      </c>
    </row>
    <row r="13" spans="1:11" s="1" customFormat="1" ht="12" x14ac:dyDescent="0.2">
      <c r="A13" s="40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12" x14ac:dyDescent="0.2">
      <c r="A14" s="40" t="s">
        <v>89</v>
      </c>
      <c r="B14" s="22">
        <v>-1428</v>
      </c>
      <c r="C14" s="22">
        <v>-1288</v>
      </c>
      <c r="D14" s="22">
        <v>-1350</v>
      </c>
      <c r="E14" s="22">
        <v>-1438</v>
      </c>
      <c r="F14" s="22">
        <v>-5504</v>
      </c>
      <c r="G14" s="22">
        <v>-1652</v>
      </c>
      <c r="H14" s="3">
        <v>-1749</v>
      </c>
      <c r="I14" s="3">
        <v>-1806</v>
      </c>
      <c r="J14" s="3">
        <v>-1879</v>
      </c>
      <c r="K14" s="3">
        <v>-7086</v>
      </c>
    </row>
    <row r="15" spans="1:11" s="1" customFormat="1" ht="12" x14ac:dyDescent="0.2">
      <c r="A15" s="40" t="s">
        <v>94</v>
      </c>
      <c r="B15" s="22">
        <v>-118</v>
      </c>
      <c r="C15" s="22">
        <v>-145</v>
      </c>
      <c r="D15" s="22">
        <v>-217</v>
      </c>
      <c r="E15" s="22">
        <v>-288</v>
      </c>
      <c r="F15" s="22">
        <v>-768</v>
      </c>
      <c r="G15" s="22">
        <v>-325</v>
      </c>
      <c r="H15" s="3">
        <v>-399</v>
      </c>
      <c r="I15" s="3">
        <v>-508</v>
      </c>
      <c r="J15" s="3">
        <v>-553</v>
      </c>
      <c r="K15" s="3">
        <v>-1785</v>
      </c>
    </row>
    <row r="16" spans="1:11" s="1" customFormat="1" ht="12" x14ac:dyDescent="0.2">
      <c r="A16" s="40" t="s">
        <v>95</v>
      </c>
      <c r="B16" s="22">
        <v>-428</v>
      </c>
      <c r="C16" s="22">
        <v>-291</v>
      </c>
      <c r="D16" s="22">
        <v>-618</v>
      </c>
      <c r="E16" s="22">
        <v>-1033</v>
      </c>
      <c r="F16" s="22">
        <v>-2370</v>
      </c>
      <c r="G16" s="22">
        <v>-1136</v>
      </c>
      <c r="H16" s="3">
        <v>-1674</v>
      </c>
      <c r="I16" s="3">
        <v>-2860</v>
      </c>
      <c r="J16" s="3">
        <v>-2841</v>
      </c>
      <c r="K16" s="3">
        <v>-8511</v>
      </c>
    </row>
    <row r="17" spans="1:11" s="1" customFormat="1" ht="12" x14ac:dyDescent="0.2">
      <c r="A17" s="40" t="s">
        <v>106</v>
      </c>
      <c r="B17" s="22">
        <v>-222</v>
      </c>
      <c r="C17" s="22">
        <v>-203</v>
      </c>
      <c r="D17" s="22">
        <v>-368</v>
      </c>
      <c r="E17" s="22">
        <v>-549</v>
      </c>
      <c r="F17" s="22">
        <v>-1342</v>
      </c>
      <c r="G17" s="22">
        <v>-569</v>
      </c>
      <c r="H17" s="3">
        <v>-622</v>
      </c>
      <c r="I17" s="3">
        <v>-777</v>
      </c>
      <c r="J17" s="3">
        <v>-887</v>
      </c>
      <c r="K17" s="3">
        <v>-2855</v>
      </c>
    </row>
    <row r="18" spans="1:11" s="1" customFormat="1" ht="12" x14ac:dyDescent="0.2">
      <c r="A18" s="40" t="s">
        <v>16</v>
      </c>
      <c r="B18" s="22">
        <v>-64</v>
      </c>
      <c r="C18" s="22">
        <v>-68</v>
      </c>
      <c r="D18" s="22">
        <v>-98</v>
      </c>
      <c r="E18" s="22">
        <v>-143</v>
      </c>
      <c r="F18" s="22">
        <v>-373</v>
      </c>
      <c r="G18" s="22">
        <v>-153</v>
      </c>
      <c r="H18" s="3">
        <v>-173</v>
      </c>
      <c r="I18" s="3">
        <v>-227</v>
      </c>
      <c r="J18" s="3">
        <v>-266</v>
      </c>
      <c r="K18" s="3">
        <v>-819</v>
      </c>
    </row>
    <row r="19" spans="1:11" s="1" customFormat="1" ht="12" x14ac:dyDescent="0.2">
      <c r="A19" s="40" t="s">
        <v>17</v>
      </c>
      <c r="B19" s="22">
        <v>-216</v>
      </c>
      <c r="C19" s="22">
        <v>-165</v>
      </c>
      <c r="D19" s="22">
        <v>-223</v>
      </c>
      <c r="E19" s="22">
        <v>-359</v>
      </c>
      <c r="F19" s="22">
        <v>-963</v>
      </c>
      <c r="G19" s="22">
        <v>-443</v>
      </c>
      <c r="H19" s="3">
        <v>-451</v>
      </c>
      <c r="I19" s="3">
        <v>-482</v>
      </c>
      <c r="J19" s="3">
        <v>-573</v>
      </c>
      <c r="K19" s="3">
        <v>-1949</v>
      </c>
    </row>
    <row r="20" spans="1:11" s="1" customFormat="1" ht="12" x14ac:dyDescent="0.2">
      <c r="A20" s="40" t="s">
        <v>18</v>
      </c>
      <c r="B20" s="22">
        <v>-263</v>
      </c>
      <c r="C20" s="22">
        <v>-359</v>
      </c>
      <c r="D20" s="22">
        <v>-336</v>
      </c>
      <c r="E20" s="22">
        <v>-501</v>
      </c>
      <c r="F20" s="22">
        <v>-1459</v>
      </c>
      <c r="G20" s="22">
        <v>-383</v>
      </c>
      <c r="H20" s="3">
        <v>-442</v>
      </c>
      <c r="I20" s="3">
        <v>-501</v>
      </c>
      <c r="J20" s="3">
        <v>-584</v>
      </c>
      <c r="K20" s="3">
        <v>-1910</v>
      </c>
    </row>
    <row r="21" spans="1:11" s="1" customFormat="1" ht="12" x14ac:dyDescent="0.2">
      <c r="A21" s="40" t="s">
        <v>93</v>
      </c>
      <c r="B21" s="22">
        <f>-218-9</f>
        <v>-227</v>
      </c>
      <c r="C21" s="22">
        <v>-214</v>
      </c>
      <c r="D21" s="22">
        <f>-233-6</f>
        <v>-239</v>
      </c>
      <c r="E21" s="22">
        <v>-296</v>
      </c>
      <c r="F21" s="22">
        <v>-976</v>
      </c>
      <c r="G21" s="22">
        <v>-271</v>
      </c>
      <c r="H21" s="3">
        <v>-321</v>
      </c>
      <c r="I21" s="3">
        <v>-348</v>
      </c>
      <c r="J21" s="3">
        <v>-309</v>
      </c>
      <c r="K21" s="3">
        <v>-1249</v>
      </c>
    </row>
    <row r="22" spans="1:11" s="1" customFormat="1" ht="12" x14ac:dyDescent="0.2">
      <c r="A22" s="40" t="s">
        <v>19</v>
      </c>
      <c r="B22" s="22">
        <v>-109</v>
      </c>
      <c r="C22" s="22">
        <v>-98</v>
      </c>
      <c r="D22" s="22">
        <v>-126</v>
      </c>
      <c r="E22" s="22">
        <v>-248</v>
      </c>
      <c r="F22" s="22">
        <v>-581</v>
      </c>
      <c r="G22" s="22">
        <v>-322</v>
      </c>
      <c r="H22" s="3">
        <v>-413</v>
      </c>
      <c r="I22" s="3">
        <v>-550</v>
      </c>
      <c r="J22" s="3">
        <v>-561</v>
      </c>
      <c r="K22" s="3">
        <v>-1846</v>
      </c>
    </row>
    <row r="23" spans="1:11" s="1" customFormat="1" ht="12" x14ac:dyDescent="0.2">
      <c r="A23" s="6" t="s">
        <v>20</v>
      </c>
      <c r="B23" s="26">
        <f>-134</f>
        <v>-134</v>
      </c>
      <c r="C23" s="26">
        <v>51</v>
      </c>
      <c r="D23" s="26">
        <f>25</f>
        <v>25</v>
      </c>
      <c r="E23" s="26">
        <v>-134</v>
      </c>
      <c r="F23" s="26">
        <v>-192</v>
      </c>
      <c r="G23" s="26">
        <v>-463</v>
      </c>
      <c r="H23" s="4">
        <v>-466</v>
      </c>
      <c r="I23" s="4">
        <v>-590</v>
      </c>
      <c r="J23" s="4">
        <v>-948</v>
      </c>
      <c r="K23" s="4">
        <v>-2469</v>
      </c>
    </row>
    <row r="24" spans="1:11" s="27" customFormat="1" ht="12" x14ac:dyDescent="0.2">
      <c r="A24" s="5" t="s">
        <v>21</v>
      </c>
      <c r="B24" s="13">
        <f t="shared" ref="B24:F24" si="5">SUM(B14:B23)</f>
        <v>-3209</v>
      </c>
      <c r="C24" s="13">
        <f t="shared" si="5"/>
        <v>-2780</v>
      </c>
      <c r="D24" s="13">
        <f t="shared" si="5"/>
        <v>-3550</v>
      </c>
      <c r="E24" s="13">
        <f t="shared" ref="E24" si="6">SUM(E14:E23)</f>
        <v>-4989</v>
      </c>
      <c r="F24" s="13">
        <f t="shared" si="5"/>
        <v>-14528</v>
      </c>
      <c r="G24" s="13">
        <f t="shared" ref="G24:H24" si="7">SUM(G14:G23)</f>
        <v>-5717</v>
      </c>
      <c r="H24" s="13">
        <f t="shared" si="7"/>
        <v>-6710</v>
      </c>
      <c r="I24" s="13">
        <f t="shared" ref="I24:J24" si="8">SUM(I14:I23)</f>
        <v>-8649</v>
      </c>
      <c r="J24" s="13">
        <f t="shared" si="8"/>
        <v>-9401</v>
      </c>
      <c r="K24" s="13">
        <f t="shared" ref="K24" si="9">SUM(K14:K23)</f>
        <v>-30479</v>
      </c>
    </row>
    <row r="25" spans="1:11" s="1" customFormat="1" ht="12" x14ac:dyDescent="0.2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" customFormat="1" ht="12" x14ac:dyDescent="0.2">
      <c r="A26" s="5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27" customFormat="1" ht="12" x14ac:dyDescent="0.2">
      <c r="A27" s="5" t="s">
        <v>23</v>
      </c>
      <c r="B27" s="13">
        <f t="shared" ref="B27:F27" si="10">B24+B12</f>
        <v>-927</v>
      </c>
      <c r="C27" s="13">
        <f t="shared" si="10"/>
        <v>-848</v>
      </c>
      <c r="D27" s="13">
        <f t="shared" si="10"/>
        <v>432</v>
      </c>
      <c r="E27" s="13">
        <f t="shared" ref="E27" si="11">E24+E12</f>
        <v>773</v>
      </c>
      <c r="F27" s="13">
        <f t="shared" si="10"/>
        <v>-570</v>
      </c>
      <c r="G27" s="13">
        <f t="shared" ref="G27:H27" si="12">G24+G12</f>
        <v>-172</v>
      </c>
      <c r="H27" s="13">
        <f t="shared" si="12"/>
        <v>338</v>
      </c>
      <c r="I27" s="13">
        <f t="shared" ref="I27:J27" si="13">I24+I12</f>
        <v>-69</v>
      </c>
      <c r="J27" s="13">
        <f t="shared" si="13"/>
        <v>1250</v>
      </c>
      <c r="K27" s="13">
        <f t="shared" ref="K27" si="14">K24+K12</f>
        <v>1345</v>
      </c>
    </row>
    <row r="28" spans="1:11" s="1" customFormat="1" ht="12" x14ac:dyDescent="0.2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" customFormat="1" ht="12" x14ac:dyDescent="0.2">
      <c r="A29" s="6" t="s">
        <v>24</v>
      </c>
      <c r="B29" s="4">
        <v>28</v>
      </c>
      <c r="C29" s="4">
        <v>-1</v>
      </c>
      <c r="D29" s="4">
        <v>2</v>
      </c>
      <c r="E29" s="4">
        <v>-3</v>
      </c>
      <c r="F29" s="4">
        <v>26</v>
      </c>
      <c r="G29" s="4">
        <v>-2</v>
      </c>
      <c r="H29" s="4">
        <v>2</v>
      </c>
      <c r="I29" s="4">
        <v>-14</v>
      </c>
      <c r="J29" s="4">
        <v>-19</v>
      </c>
      <c r="K29" s="4">
        <v>-31</v>
      </c>
    </row>
    <row r="30" spans="1:11" s="27" customFormat="1" ht="12" x14ac:dyDescent="0.2">
      <c r="A30" s="5" t="s">
        <v>25</v>
      </c>
      <c r="B30" s="13">
        <f t="shared" ref="B30:F30" si="15">B29+B27</f>
        <v>-899</v>
      </c>
      <c r="C30" s="13">
        <f t="shared" si="15"/>
        <v>-849</v>
      </c>
      <c r="D30" s="13">
        <f t="shared" si="15"/>
        <v>434</v>
      </c>
      <c r="E30" s="13">
        <f t="shared" ref="E30" si="16">E29+E27</f>
        <v>770</v>
      </c>
      <c r="F30" s="13">
        <f t="shared" si="15"/>
        <v>-544</v>
      </c>
      <c r="G30" s="13">
        <f t="shared" ref="G30:H30" si="17">G29+G27</f>
        <v>-174</v>
      </c>
      <c r="H30" s="13">
        <f t="shared" si="17"/>
        <v>340</v>
      </c>
      <c r="I30" s="13">
        <f t="shared" ref="I30:J30" si="18">I29+I27</f>
        <v>-83</v>
      </c>
      <c r="J30" s="13">
        <f t="shared" si="18"/>
        <v>1231</v>
      </c>
      <c r="K30" s="13">
        <f t="shared" ref="K30" si="19">K29+K27</f>
        <v>1314</v>
      </c>
    </row>
    <row r="31" spans="1:11" s="1" customFormat="1" ht="12" x14ac:dyDescent="0.2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" customFormat="1" ht="12" x14ac:dyDescent="0.2">
      <c r="A32" s="7" t="s">
        <v>107</v>
      </c>
      <c r="B32" s="17">
        <f>-37+30</f>
        <v>-7</v>
      </c>
      <c r="C32" s="17">
        <f>-37+30</f>
        <v>-7</v>
      </c>
      <c r="D32" s="17">
        <f>-36+30</f>
        <v>-6</v>
      </c>
      <c r="E32" s="17">
        <f>-37+30</f>
        <v>-7</v>
      </c>
      <c r="F32" s="17">
        <f>-147+30+30+30+30</f>
        <v>-27</v>
      </c>
      <c r="G32" s="17">
        <v>-10</v>
      </c>
      <c r="H32" s="17">
        <v>-9.9282000000000146</v>
      </c>
      <c r="I32" s="17">
        <v>-5.8084999999999987</v>
      </c>
      <c r="J32" s="3">
        <v>-4.4375099999999996</v>
      </c>
      <c r="K32" s="17">
        <v>-30.174210000000013</v>
      </c>
    </row>
    <row r="33" spans="1:11" s="1" customFormat="1" ht="12" x14ac:dyDescent="0.2">
      <c r="A33" s="40" t="s">
        <v>91</v>
      </c>
      <c r="B33" s="3">
        <f>-410</f>
        <v>-410</v>
      </c>
      <c r="C33" s="3">
        <f>-368</f>
        <v>-368</v>
      </c>
      <c r="D33" s="3">
        <f>-376</f>
        <v>-376</v>
      </c>
      <c r="E33" s="3">
        <f>-382</f>
        <v>-382</v>
      </c>
      <c r="F33" s="3">
        <f>-1536</f>
        <v>-1536</v>
      </c>
      <c r="G33" s="3">
        <f>-373+1</f>
        <v>-372</v>
      </c>
      <c r="H33" s="17">
        <v>-346.36503027392041</v>
      </c>
      <c r="I33" s="17">
        <v>-341.44600305096014</v>
      </c>
      <c r="J33" s="3">
        <v>-354.1998832560007</v>
      </c>
      <c r="K33" s="17">
        <v>-1414.0109165808813</v>
      </c>
    </row>
    <row r="34" spans="1:11" s="1" customFormat="1" ht="12" x14ac:dyDescent="0.2">
      <c r="A34" s="40" t="s">
        <v>116</v>
      </c>
      <c r="B34" s="3"/>
      <c r="C34" s="3"/>
      <c r="D34" s="3"/>
      <c r="E34" s="3"/>
      <c r="F34" s="3"/>
      <c r="G34" s="3"/>
      <c r="H34" s="17"/>
      <c r="I34" s="17"/>
      <c r="J34" s="3">
        <v>-64</v>
      </c>
      <c r="K34" s="17">
        <v>-64</v>
      </c>
    </row>
    <row r="35" spans="1:11" s="1" customFormat="1" ht="12" x14ac:dyDescent="0.2">
      <c r="A35" s="40" t="s">
        <v>90</v>
      </c>
      <c r="B35" s="3">
        <v>-848</v>
      </c>
      <c r="C35" s="3">
        <v>-797</v>
      </c>
      <c r="D35" s="3">
        <v>-786</v>
      </c>
      <c r="E35" s="3">
        <v>-823</v>
      </c>
      <c r="F35" s="3">
        <v>-3254</v>
      </c>
      <c r="G35" s="3">
        <v>-801</v>
      </c>
      <c r="H35" s="17">
        <v>-806</v>
      </c>
      <c r="I35" s="17">
        <v>-820</v>
      </c>
      <c r="J35" s="3">
        <v>-828</v>
      </c>
      <c r="K35" s="17">
        <v>-3255</v>
      </c>
    </row>
    <row r="36" spans="1:11" s="1" customFormat="1" ht="12" x14ac:dyDescent="0.2">
      <c r="A36" s="7" t="s">
        <v>110</v>
      </c>
      <c r="B36" s="3">
        <v>2</v>
      </c>
      <c r="C36" s="3">
        <v>3</v>
      </c>
      <c r="D36" s="3">
        <v>3</v>
      </c>
      <c r="E36" s="3">
        <v>2</v>
      </c>
      <c r="F36" s="3">
        <v>10</v>
      </c>
      <c r="G36" s="3">
        <v>4</v>
      </c>
      <c r="H36" s="3">
        <v>3</v>
      </c>
      <c r="I36" s="3">
        <v>12</v>
      </c>
      <c r="J36" s="3">
        <v>3</v>
      </c>
      <c r="K36" s="3">
        <v>22</v>
      </c>
    </row>
    <row r="37" spans="1:11" s="1" customFormat="1" ht="12" x14ac:dyDescent="0.2">
      <c r="A37" s="6" t="s">
        <v>26</v>
      </c>
      <c r="B37" s="4">
        <v>12</v>
      </c>
      <c r="C37" s="4">
        <v>0</v>
      </c>
      <c r="D37" s="4">
        <v>-121</v>
      </c>
      <c r="E37" s="4">
        <v>-34</v>
      </c>
      <c r="F37" s="4">
        <v>-143</v>
      </c>
      <c r="G37" s="4">
        <v>24</v>
      </c>
      <c r="H37" s="4">
        <v>56</v>
      </c>
      <c r="I37" s="4">
        <v>90</v>
      </c>
      <c r="J37" s="4">
        <v>-75</v>
      </c>
      <c r="K37" s="4">
        <v>95</v>
      </c>
    </row>
    <row r="38" spans="1:11" s="27" customFormat="1" ht="12" x14ac:dyDescent="0.2">
      <c r="A38" s="28" t="s">
        <v>27</v>
      </c>
      <c r="B38" s="13">
        <f t="shared" ref="B38:F38" si="20">SUM(B30:B37)</f>
        <v>-2150</v>
      </c>
      <c r="C38" s="13">
        <f t="shared" si="20"/>
        <v>-2018</v>
      </c>
      <c r="D38" s="13">
        <f t="shared" si="20"/>
        <v>-852</v>
      </c>
      <c r="E38" s="13">
        <f t="shared" ref="E38" si="21">SUM(E30:E37)</f>
        <v>-474</v>
      </c>
      <c r="F38" s="13">
        <f t="shared" si="20"/>
        <v>-5494</v>
      </c>
      <c r="G38" s="13">
        <f t="shared" ref="G38" si="22">SUM(G30:G37)</f>
        <v>-1329</v>
      </c>
      <c r="H38" s="13">
        <f>SUM(H30:H37)</f>
        <v>-763.29323027392047</v>
      </c>
      <c r="I38" s="13">
        <f>SUM(I30:I37)</f>
        <v>-1148.25450305096</v>
      </c>
      <c r="J38" s="13">
        <f>SUM(J30:J37)</f>
        <v>-91.637393256000678</v>
      </c>
      <c r="K38" s="13">
        <f>SUM(K30:K37)</f>
        <v>-3332.1851265808809</v>
      </c>
    </row>
    <row r="39" spans="1:11" s="1" customFormat="1" ht="12" x14ac:dyDescent="0.2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" customFormat="1" ht="12" x14ac:dyDescent="0.2">
      <c r="A40" s="7" t="s">
        <v>28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s="1" customFormat="1" ht="12" x14ac:dyDescent="0.2">
      <c r="A41" s="7" t="s">
        <v>29</v>
      </c>
      <c r="B41" s="3">
        <v>6</v>
      </c>
      <c r="C41" s="3">
        <v>7</v>
      </c>
      <c r="D41" s="3">
        <v>3</v>
      </c>
      <c r="E41" s="3">
        <v>4</v>
      </c>
      <c r="F41" s="3">
        <v>20</v>
      </c>
      <c r="G41" s="3">
        <v>14</v>
      </c>
      <c r="H41" s="17">
        <v>12</v>
      </c>
      <c r="I41" s="17">
        <v>52</v>
      </c>
      <c r="J41" s="17">
        <v>141</v>
      </c>
      <c r="K41" s="17">
        <v>219</v>
      </c>
    </row>
    <row r="42" spans="1:11" s="1" customFormat="1" ht="12" x14ac:dyDescent="0.2">
      <c r="A42" s="7" t="s">
        <v>30</v>
      </c>
      <c r="B42" s="3">
        <v>-132</v>
      </c>
      <c r="C42" s="3">
        <v>-151</v>
      </c>
      <c r="D42" s="3">
        <v>-180</v>
      </c>
      <c r="E42" s="3">
        <f>-145-1</f>
        <v>-146</v>
      </c>
      <c r="F42" s="3">
        <v>-609</v>
      </c>
      <c r="G42" s="3">
        <v>-183</v>
      </c>
      <c r="H42" s="3">
        <v>-200</v>
      </c>
      <c r="I42" s="3">
        <v>-245</v>
      </c>
      <c r="J42" s="3">
        <v>-425</v>
      </c>
      <c r="K42" s="3">
        <v>-1053</v>
      </c>
    </row>
    <row r="43" spans="1:11" s="1" customFormat="1" ht="12" x14ac:dyDescent="0.2">
      <c r="A43" s="7" t="s">
        <v>92</v>
      </c>
      <c r="B43" s="17">
        <v>361</v>
      </c>
      <c r="C43" s="17">
        <v>-169</v>
      </c>
      <c r="D43" s="17">
        <v>-305</v>
      </c>
      <c r="E43" s="17">
        <f>-330+1</f>
        <v>-329</v>
      </c>
      <c r="F43" s="17">
        <v>-442</v>
      </c>
      <c r="G43" s="17">
        <v>-1099</v>
      </c>
      <c r="H43" s="17">
        <v>-606</v>
      </c>
      <c r="I43" s="17">
        <v>-650</v>
      </c>
      <c r="J43" s="17">
        <v>-1325</v>
      </c>
      <c r="K43" s="17">
        <v>-3680</v>
      </c>
    </row>
    <row r="44" spans="1:11" s="27" customFormat="1" ht="12" x14ac:dyDescent="0.2">
      <c r="A44" s="25" t="s">
        <v>31</v>
      </c>
      <c r="B44" s="23">
        <f t="shared" ref="B44:F44" si="23">SUM(B38:B43)</f>
        <v>-1915</v>
      </c>
      <c r="C44" s="23">
        <f t="shared" si="23"/>
        <v>-2331</v>
      </c>
      <c r="D44" s="23">
        <f t="shared" si="23"/>
        <v>-1334</v>
      </c>
      <c r="E44" s="23">
        <f t="shared" ref="E44" si="24">SUM(E38:E43)</f>
        <v>-945</v>
      </c>
      <c r="F44" s="23">
        <f t="shared" si="23"/>
        <v>-6525</v>
      </c>
      <c r="G44" s="23">
        <f>SUM(G38:G43)</f>
        <v>-2597</v>
      </c>
      <c r="H44" s="23">
        <f>SUM(H38:H43)</f>
        <v>-1557.2932302739205</v>
      </c>
      <c r="I44" s="23">
        <f>SUM(I38:I43)</f>
        <v>-1991.25450305096</v>
      </c>
      <c r="J44" s="23">
        <f>SUM(J38:J43)</f>
        <v>-1700.6373932560007</v>
      </c>
      <c r="K44" s="23">
        <f>SUM(K38:K43)</f>
        <v>-7846.1851265808809</v>
      </c>
    </row>
    <row r="45" spans="1:11" s="1" customFormat="1" ht="12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 ht="12" x14ac:dyDescent="0.2">
      <c r="A46" s="32" t="s">
        <v>32</v>
      </c>
      <c r="B46" s="4">
        <f>-114-4</f>
        <v>-118</v>
      </c>
      <c r="C46" s="4">
        <f>-72-7</f>
        <v>-79</v>
      </c>
      <c r="D46" s="4">
        <f>3-5</f>
        <v>-2</v>
      </c>
      <c r="E46" s="4">
        <v>201</v>
      </c>
      <c r="F46" s="4">
        <v>2</v>
      </c>
      <c r="G46" s="4">
        <v>155</v>
      </c>
      <c r="H46" s="4">
        <v>37</v>
      </c>
      <c r="I46" s="4">
        <v>143</v>
      </c>
      <c r="J46" s="4">
        <v>463</v>
      </c>
      <c r="K46" s="4">
        <v>798</v>
      </c>
    </row>
    <row r="47" spans="1:11" s="27" customFormat="1" ht="12" x14ac:dyDescent="0.2">
      <c r="A47" s="27" t="s">
        <v>33</v>
      </c>
      <c r="B47" s="13">
        <f t="shared" ref="B47:F47" si="25">SUM(B44:B46)</f>
        <v>-2033</v>
      </c>
      <c r="C47" s="13">
        <f t="shared" si="25"/>
        <v>-2410</v>
      </c>
      <c r="D47" s="13">
        <f t="shared" si="25"/>
        <v>-1336</v>
      </c>
      <c r="E47" s="13">
        <f t="shared" ref="E47" si="26">SUM(E44:E46)</f>
        <v>-744</v>
      </c>
      <c r="F47" s="13">
        <f t="shared" si="25"/>
        <v>-6523</v>
      </c>
      <c r="G47" s="13">
        <f>SUM(G44:G46)</f>
        <v>-2442</v>
      </c>
      <c r="H47" s="13">
        <f>SUM(H44:H46)</f>
        <v>-1520.2932302739205</v>
      </c>
      <c r="I47" s="13">
        <f>SUM(I44:I46)</f>
        <v>-1848.25450305096</v>
      </c>
      <c r="J47" s="13">
        <f>SUM(J44:J46)</f>
        <v>-1237.6373932560007</v>
      </c>
      <c r="K47" s="13">
        <f>SUM(K44:K46)</f>
        <v>-7048.1851265808809</v>
      </c>
    </row>
    <row r="48" spans="1:11" s="1" customFormat="1" ht="12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1" customFormat="1" ht="1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1" customFormat="1" ht="12" x14ac:dyDescent="0.2">
      <c r="A50" s="7" t="s">
        <v>34</v>
      </c>
    </row>
    <row r="51" spans="1:11" s="1" customFormat="1" ht="12" x14ac:dyDescent="0.2">
      <c r="A51" s="7" t="s">
        <v>35</v>
      </c>
      <c r="B51" s="3">
        <f t="shared" ref="B51:F51" si="27">B47</f>
        <v>-2033</v>
      </c>
      <c r="C51" s="3">
        <f t="shared" si="27"/>
        <v>-2410</v>
      </c>
      <c r="D51" s="3">
        <f t="shared" si="27"/>
        <v>-1336</v>
      </c>
      <c r="E51" s="3">
        <f t="shared" ref="E51" si="28">E47</f>
        <v>-744</v>
      </c>
      <c r="F51" s="3">
        <f t="shared" si="27"/>
        <v>-6523</v>
      </c>
      <c r="G51" s="3">
        <f t="shared" ref="G51:H51" si="29">G47</f>
        <v>-2442</v>
      </c>
      <c r="H51" s="3">
        <f t="shared" si="29"/>
        <v>-1520.2932302739205</v>
      </c>
      <c r="I51" s="3">
        <f t="shared" ref="I51:J51" si="30">I47</f>
        <v>-1848.25450305096</v>
      </c>
      <c r="J51" s="3">
        <f t="shared" si="30"/>
        <v>-1237.6373932560007</v>
      </c>
      <c r="K51" s="3">
        <f t="shared" ref="K51" si="31">K47</f>
        <v>-7048.1851265808809</v>
      </c>
    </row>
    <row r="52" spans="1:11" s="1" customFormat="1" ht="12" x14ac:dyDescent="0.2">
      <c r="A52" s="7" t="s">
        <v>36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s="1" customFormat="1" ht="12" x14ac:dyDescent="0.2"/>
    <row r="54" spans="1:11" s="1" customFormat="1" ht="1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1" customFormat="1" ht="12" hidden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1" customFormat="1" ht="12" hidden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1" customFormat="1" ht="12" hidden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 ht="12" hidden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1" customFormat="1" ht="12" hidden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" customFormat="1" ht="12" hidden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1" customFormat="1" ht="12" hidden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1" customFormat="1" ht="12" hidden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1" customFormat="1" ht="12" hidden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1" customFormat="1" ht="12" hidden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1" customFormat="1" ht="12" hidden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1" customFormat="1" ht="12" hidden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1" customFormat="1" ht="12" hidden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1" customFormat="1" ht="12" hidden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1" customFormat="1" ht="12" hidden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 ht="12" hidden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1" customFormat="1" ht="12" hidden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1" customFormat="1" ht="12" hidden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1" customFormat="1" ht="12" hidden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 ht="12" hidden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 ht="12" hidden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 ht="12" hidden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1" customFormat="1" ht="1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1" customFormat="1" ht="1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 ht="12" x14ac:dyDescent="0.2">
      <c r="A79" s="32"/>
      <c r="B79" s="2" t="s">
        <v>88</v>
      </c>
      <c r="C79" s="2">
        <v>2021</v>
      </c>
      <c r="D79" s="2">
        <v>2021</v>
      </c>
      <c r="E79" s="2">
        <v>2021</v>
      </c>
      <c r="F79" s="2" t="s">
        <v>108</v>
      </c>
      <c r="G79" s="2" t="str">
        <f>G4</f>
        <v>2021-2022</v>
      </c>
      <c r="H79" s="2">
        <f>H4</f>
        <v>2022</v>
      </c>
      <c r="I79" s="2">
        <f>I4</f>
        <v>2022</v>
      </c>
      <c r="J79" s="2">
        <f>J4</f>
        <v>2022</v>
      </c>
      <c r="K79" s="2" t="str">
        <f>K4</f>
        <v>2021-2022</v>
      </c>
    </row>
    <row r="80" spans="1:11" s="1" customFormat="1" ht="12" x14ac:dyDescent="0.2">
      <c r="A80" s="27" t="s">
        <v>37</v>
      </c>
      <c r="B80" s="15" t="s">
        <v>4</v>
      </c>
      <c r="C80" s="15" t="s">
        <v>5</v>
      </c>
      <c r="D80" s="15" t="s">
        <v>2</v>
      </c>
      <c r="E80" s="15" t="str">
        <f>E5</f>
        <v>AUG-</v>
      </c>
      <c r="F80" s="15" t="s">
        <v>4</v>
      </c>
      <c r="G80" s="15" t="s">
        <v>4</v>
      </c>
      <c r="H80" s="15" t="s">
        <v>5</v>
      </c>
      <c r="I80" s="15" t="s">
        <v>2</v>
      </c>
      <c r="J80" s="15" t="str">
        <f>J5</f>
        <v>AUG-</v>
      </c>
      <c r="K80" s="15" t="s">
        <v>4</v>
      </c>
    </row>
    <row r="81" spans="1:11" s="1" customFormat="1" ht="12" x14ac:dyDescent="0.2">
      <c r="A81" s="6" t="s">
        <v>6</v>
      </c>
      <c r="B81" s="16" t="s">
        <v>9</v>
      </c>
      <c r="C81" s="16" t="s">
        <v>10</v>
      </c>
      <c r="D81" s="16" t="s">
        <v>7</v>
      </c>
      <c r="E81" s="16" t="str">
        <f>E6</f>
        <v>OCT</v>
      </c>
      <c r="F81" s="16" t="s">
        <v>8</v>
      </c>
      <c r="G81" s="16" t="s">
        <v>9</v>
      </c>
      <c r="H81" s="16" t="s">
        <v>10</v>
      </c>
      <c r="I81" s="16" t="s">
        <v>7</v>
      </c>
      <c r="J81" s="16" t="str">
        <f>J6</f>
        <v>OCT</v>
      </c>
      <c r="K81" s="16" t="s">
        <v>8</v>
      </c>
    </row>
    <row r="82" spans="1:11" s="1" customFormat="1" ht="12" x14ac:dyDescent="0.2">
      <c r="A82" s="40" t="s">
        <v>38</v>
      </c>
      <c r="B82" s="3">
        <v>-67</v>
      </c>
      <c r="C82" s="3">
        <v>-81</v>
      </c>
      <c r="D82" s="3">
        <v>-77</v>
      </c>
      <c r="E82" s="3">
        <v>-84</v>
      </c>
      <c r="F82" s="3">
        <v>-309</v>
      </c>
      <c r="G82" s="3">
        <v>-106</v>
      </c>
      <c r="H82" s="3">
        <v>-96</v>
      </c>
      <c r="I82" s="3">
        <v>-86</v>
      </c>
      <c r="J82" s="3">
        <v>-90</v>
      </c>
      <c r="K82" s="3">
        <v>-378</v>
      </c>
    </row>
    <row r="83" spans="1:11" s="1" customFormat="1" ht="12" x14ac:dyDescent="0.2">
      <c r="A83" s="40" t="s">
        <v>39</v>
      </c>
      <c r="B83" s="3">
        <v>-68</v>
      </c>
      <c r="C83" s="3">
        <v>-46</v>
      </c>
      <c r="D83" s="3">
        <v>-33</v>
      </c>
      <c r="E83" s="3">
        <v>-28</v>
      </c>
      <c r="F83" s="3">
        <v>-175</v>
      </c>
      <c r="G83" s="3">
        <v>-31</v>
      </c>
      <c r="H83" s="3">
        <v>-35</v>
      </c>
      <c r="I83" s="3">
        <v>-26</v>
      </c>
      <c r="J83" s="3">
        <v>-36</v>
      </c>
      <c r="K83" s="3">
        <v>-128</v>
      </c>
    </row>
    <row r="84" spans="1:11" s="1" customFormat="1" ht="12" x14ac:dyDescent="0.2">
      <c r="A84" s="40" t="s">
        <v>40</v>
      </c>
      <c r="B84" s="3">
        <v>-8</v>
      </c>
      <c r="C84" s="3">
        <v>-6</v>
      </c>
      <c r="D84" s="3">
        <v>-9</v>
      </c>
      <c r="E84" s="3">
        <v>-8</v>
      </c>
      <c r="F84" s="3">
        <v>-31</v>
      </c>
      <c r="G84" s="3">
        <v>-10</v>
      </c>
      <c r="H84" s="3">
        <v>-19</v>
      </c>
      <c r="I84" s="3">
        <v>-16</v>
      </c>
      <c r="J84" s="3">
        <v>-17</v>
      </c>
      <c r="K84" s="3">
        <v>-62</v>
      </c>
    </row>
    <row r="85" spans="1:11" s="1" customFormat="1" ht="12" x14ac:dyDescent="0.2">
      <c r="A85" s="40" t="s">
        <v>41</v>
      </c>
      <c r="B85" s="3">
        <v>-34</v>
      </c>
      <c r="C85" s="3">
        <v>-31</v>
      </c>
      <c r="D85" s="3">
        <v>-31</v>
      </c>
      <c r="E85" s="3">
        <v>-39</v>
      </c>
      <c r="F85" s="3">
        <v>-135</v>
      </c>
      <c r="G85" s="3">
        <v>-46</v>
      </c>
      <c r="H85" s="3">
        <v>-39</v>
      </c>
      <c r="I85" s="3">
        <v>-55</v>
      </c>
      <c r="J85" s="3">
        <v>-47</v>
      </c>
      <c r="K85" s="3">
        <v>-187</v>
      </c>
    </row>
    <row r="86" spans="1:11" s="1" customFormat="1" ht="12" x14ac:dyDescent="0.2">
      <c r="A86" s="40" t="s">
        <v>42</v>
      </c>
      <c r="B86" s="3">
        <v>-22</v>
      </c>
      <c r="C86" s="3">
        <v>-11</v>
      </c>
      <c r="D86" s="3">
        <v>-24</v>
      </c>
      <c r="E86" s="3">
        <v>-51</v>
      </c>
      <c r="F86" s="3">
        <v>-108</v>
      </c>
      <c r="G86" s="3">
        <v>-61</v>
      </c>
      <c r="H86" s="3">
        <v>-67</v>
      </c>
      <c r="I86" s="3">
        <v>-76</v>
      </c>
      <c r="J86" s="3">
        <v>-81</v>
      </c>
      <c r="K86" s="3">
        <v>-285</v>
      </c>
    </row>
    <row r="87" spans="1:11" s="1" customFormat="1" ht="12" x14ac:dyDescent="0.2">
      <c r="A87" s="40" t="s">
        <v>43</v>
      </c>
      <c r="B87" s="3">
        <v>-62</v>
      </c>
      <c r="C87" s="3">
        <v>-34</v>
      </c>
      <c r="D87" s="3">
        <v>-61</v>
      </c>
      <c r="E87" s="3">
        <v>-102</v>
      </c>
      <c r="F87" s="3">
        <v>-259</v>
      </c>
      <c r="G87" s="3">
        <v>-131</v>
      </c>
      <c r="H87" s="3">
        <v>-187</v>
      </c>
      <c r="I87" s="3">
        <v>-289</v>
      </c>
      <c r="J87" s="3">
        <v>-378</v>
      </c>
      <c r="K87" s="3">
        <v>-985</v>
      </c>
    </row>
    <row r="88" spans="1:11" s="1" customFormat="1" ht="12" x14ac:dyDescent="0.2">
      <c r="A88" s="40" t="s">
        <v>44</v>
      </c>
      <c r="B88" s="3">
        <v>-2</v>
      </c>
      <c r="C88" s="3">
        <v>-1</v>
      </c>
      <c r="D88" s="3">
        <v>-20</v>
      </c>
      <c r="E88" s="3">
        <v>-2</v>
      </c>
      <c r="F88" s="3">
        <v>-25</v>
      </c>
      <c r="G88" s="3">
        <v>-15</v>
      </c>
      <c r="H88" s="3">
        <v>-22</v>
      </c>
      <c r="I88" s="3">
        <v>-41</v>
      </c>
      <c r="J88" s="3">
        <v>-65</v>
      </c>
      <c r="K88" s="3">
        <v>-143</v>
      </c>
    </row>
    <row r="89" spans="1:11" s="1" customFormat="1" ht="12" x14ac:dyDescent="0.2">
      <c r="A89" s="6" t="s">
        <v>45</v>
      </c>
      <c r="B89" s="4">
        <f>129</f>
        <v>129</v>
      </c>
      <c r="C89" s="4">
        <v>261</v>
      </c>
      <c r="D89" s="4">
        <f>280</f>
        <v>280</v>
      </c>
      <c r="E89" s="4">
        <v>180</v>
      </c>
      <c r="F89" s="4">
        <v>850</v>
      </c>
      <c r="G89" s="4">
        <v>-63</v>
      </c>
      <c r="H89" s="4">
        <v>-3</v>
      </c>
      <c r="I89" s="4">
        <v>-1</v>
      </c>
      <c r="J89" s="4">
        <v>-234</v>
      </c>
      <c r="K89" s="4">
        <v>-301</v>
      </c>
    </row>
    <row r="90" spans="1:11" s="27" customFormat="1" ht="12" x14ac:dyDescent="0.2">
      <c r="A90" s="28" t="s">
        <v>46</v>
      </c>
      <c r="B90" s="13">
        <f t="shared" ref="B90:F90" si="32">SUM(B82:B89)</f>
        <v>-134</v>
      </c>
      <c r="C90" s="13">
        <f t="shared" si="32"/>
        <v>51</v>
      </c>
      <c r="D90" s="13">
        <f t="shared" si="32"/>
        <v>25</v>
      </c>
      <c r="E90" s="13">
        <f t="shared" ref="E90" si="33">SUM(E82:E89)</f>
        <v>-134</v>
      </c>
      <c r="F90" s="13">
        <f t="shared" si="32"/>
        <v>-192</v>
      </c>
      <c r="G90" s="13">
        <f t="shared" ref="G90:H90" si="34">SUM(G82:G89)</f>
        <v>-463</v>
      </c>
      <c r="H90" s="13">
        <f t="shared" si="34"/>
        <v>-468</v>
      </c>
      <c r="I90" s="13">
        <f t="shared" ref="I90:J90" si="35">SUM(I82:I89)</f>
        <v>-590</v>
      </c>
      <c r="J90" s="13">
        <f t="shared" si="35"/>
        <v>-948</v>
      </c>
      <c r="K90" s="13">
        <f t="shared" ref="K90" si="36">SUM(K82:K89)</f>
        <v>-2469</v>
      </c>
    </row>
    <row r="91" spans="1:11" s="1" customFormat="1" ht="12" x14ac:dyDescent="0.2">
      <c r="A91" s="40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 ht="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 ht="12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 ht="12" x14ac:dyDescent="0.2">
      <c r="A94" s="32"/>
      <c r="B94" s="2" t="str">
        <f>B4</f>
        <v>2020-2021</v>
      </c>
      <c r="C94" s="2">
        <v>2021</v>
      </c>
      <c r="D94" s="2">
        <v>2021</v>
      </c>
      <c r="E94" s="2">
        <v>2021</v>
      </c>
      <c r="F94" s="2" t="s">
        <v>108</v>
      </c>
      <c r="G94" s="2" t="str">
        <f t="shared" ref="G94:H96" si="37">G4</f>
        <v>2021-2022</v>
      </c>
      <c r="H94" s="2">
        <f t="shared" si="37"/>
        <v>2022</v>
      </c>
      <c r="I94" s="2">
        <f t="shared" ref="I94:J94" si="38">I4</f>
        <v>2022</v>
      </c>
      <c r="J94" s="2">
        <f t="shared" si="38"/>
        <v>2022</v>
      </c>
      <c r="K94" s="2" t="str">
        <f t="shared" ref="K94" si="39">K4</f>
        <v>2021-2022</v>
      </c>
    </row>
    <row r="95" spans="1:11" s="1" customFormat="1" ht="12" x14ac:dyDescent="0.2">
      <c r="A95" s="27" t="s">
        <v>47</v>
      </c>
      <c r="B95" s="15" t="str">
        <f>B5</f>
        <v>NOV-</v>
      </c>
      <c r="C95" s="15" t="s">
        <v>5</v>
      </c>
      <c r="D95" s="15" t="s">
        <v>2</v>
      </c>
      <c r="E95" s="15" t="str">
        <f>E80</f>
        <v>AUG-</v>
      </c>
      <c r="F95" s="15" t="s">
        <v>4</v>
      </c>
      <c r="G95" s="15" t="str">
        <f t="shared" si="37"/>
        <v>NOV-</v>
      </c>
      <c r="H95" s="15" t="str">
        <f t="shared" si="37"/>
        <v>FEB-</v>
      </c>
      <c r="I95" s="15" t="str">
        <f t="shared" ref="I95:J95" si="40">I5</f>
        <v>MAY-</v>
      </c>
      <c r="J95" s="15" t="str">
        <f t="shared" si="40"/>
        <v>AUG-</v>
      </c>
      <c r="K95" s="15" t="str">
        <f t="shared" ref="K95" si="41">K5</f>
        <v>NOV-</v>
      </c>
    </row>
    <row r="96" spans="1:11" s="1" customFormat="1" ht="12" x14ac:dyDescent="0.2">
      <c r="A96" s="6" t="s">
        <v>6</v>
      </c>
      <c r="B96" s="2" t="str">
        <f>B6</f>
        <v>JAN</v>
      </c>
      <c r="C96" s="16" t="s">
        <v>10</v>
      </c>
      <c r="D96" s="16" t="s">
        <v>7</v>
      </c>
      <c r="E96" s="16" t="str">
        <f>E81</f>
        <v>OCT</v>
      </c>
      <c r="F96" s="16" t="s">
        <v>8</v>
      </c>
      <c r="G96" s="2" t="str">
        <f t="shared" si="37"/>
        <v>JAN</v>
      </c>
      <c r="H96" s="2" t="str">
        <f t="shared" si="37"/>
        <v>APR</v>
      </c>
      <c r="I96" s="2" t="str">
        <f t="shared" ref="I96:J96" si="42">I6</f>
        <v>JUL</v>
      </c>
      <c r="J96" s="2" t="str">
        <f t="shared" si="42"/>
        <v>OCT</v>
      </c>
      <c r="K96" s="2" t="str">
        <f t="shared" ref="K96" si="43">K6</f>
        <v>OCT</v>
      </c>
    </row>
    <row r="97" spans="1:11" s="1" customFormat="1" ht="12" x14ac:dyDescent="0.2">
      <c r="A97" s="1" t="s">
        <v>31</v>
      </c>
      <c r="B97" s="3">
        <f t="shared" ref="B97:E97" si="44">B44</f>
        <v>-1915</v>
      </c>
      <c r="C97" s="3">
        <f t="shared" si="44"/>
        <v>-2331</v>
      </c>
      <c r="D97" s="3">
        <f t="shared" si="44"/>
        <v>-1334</v>
      </c>
      <c r="E97" s="3">
        <f t="shared" si="44"/>
        <v>-945</v>
      </c>
      <c r="F97" s="3">
        <v>-6525</v>
      </c>
      <c r="G97" s="3">
        <v>-2597</v>
      </c>
      <c r="H97" s="3">
        <v>-1557.2932302739205</v>
      </c>
      <c r="I97" s="3">
        <v>-1991.25450305096</v>
      </c>
      <c r="J97" s="3">
        <v>-1700.6373932560007</v>
      </c>
      <c r="K97" s="3">
        <v>-7846.1851265808809</v>
      </c>
    </row>
    <row r="98" spans="1:11" s="1" customFormat="1" ht="12" x14ac:dyDescent="0.2">
      <c r="A98" s="1" t="s">
        <v>48</v>
      </c>
      <c r="B98" s="3">
        <v>0</v>
      </c>
      <c r="C98" s="3">
        <v>0</v>
      </c>
      <c r="D98" s="3">
        <v>0</v>
      </c>
      <c r="E98" s="3"/>
      <c r="F98" s="3">
        <v>0</v>
      </c>
      <c r="G98" s="3"/>
      <c r="H98" s="3">
        <v>0</v>
      </c>
      <c r="I98" s="3">
        <v>0</v>
      </c>
      <c r="J98" s="3">
        <v>0</v>
      </c>
      <c r="K98" s="3">
        <v>0</v>
      </c>
    </row>
    <row r="99" spans="1:11" s="1" customFormat="1" ht="12" x14ac:dyDescent="0.2">
      <c r="A99" s="1" t="s">
        <v>49</v>
      </c>
      <c r="B99" s="3">
        <v>0</v>
      </c>
      <c r="C99" s="3">
        <v>0</v>
      </c>
      <c r="D99" s="3">
        <v>0</v>
      </c>
      <c r="E99" s="3"/>
      <c r="F99" s="3">
        <v>0</v>
      </c>
      <c r="G99" s="3"/>
      <c r="H99" s="3">
        <v>0</v>
      </c>
      <c r="I99" s="3">
        <v>0</v>
      </c>
      <c r="J99" s="3">
        <v>0</v>
      </c>
      <c r="K99" s="3">
        <v>0</v>
      </c>
    </row>
    <row r="100" spans="1:11" s="1" customFormat="1" ht="12" x14ac:dyDescent="0.2">
      <c r="A100" s="1" t="s">
        <v>50</v>
      </c>
      <c r="B100" s="3">
        <v>-12</v>
      </c>
      <c r="C100" s="3">
        <v>0</v>
      </c>
      <c r="D100" s="3">
        <v>121</v>
      </c>
      <c r="E100" s="3">
        <v>34</v>
      </c>
      <c r="F100" s="3">
        <v>143</v>
      </c>
      <c r="G100" s="3">
        <v>-24</v>
      </c>
      <c r="H100" s="3">
        <v>-56</v>
      </c>
      <c r="I100" s="3">
        <v>-90</v>
      </c>
      <c r="J100" s="3">
        <v>75</v>
      </c>
      <c r="K100" s="3">
        <v>-95</v>
      </c>
    </row>
    <row r="101" spans="1:11" s="1" customFormat="1" ht="12" x14ac:dyDescent="0.2">
      <c r="A101" s="32" t="s">
        <v>51</v>
      </c>
      <c r="B101" s="4">
        <v>0</v>
      </c>
      <c r="C101" s="4">
        <v>0</v>
      </c>
      <c r="D101" s="4">
        <v>0</v>
      </c>
      <c r="E101" s="4"/>
      <c r="F101" s="4">
        <v>0</v>
      </c>
      <c r="G101" s="4"/>
      <c r="H101" s="4">
        <v>0</v>
      </c>
      <c r="I101" s="4">
        <v>0</v>
      </c>
      <c r="J101" s="4">
        <v>0</v>
      </c>
      <c r="K101" s="4">
        <v>0</v>
      </c>
    </row>
    <row r="102" spans="1:11" s="27" customFormat="1" ht="12" x14ac:dyDescent="0.2">
      <c r="A102" s="27" t="s">
        <v>47</v>
      </c>
      <c r="B102" s="13">
        <f t="shared" ref="B102:F102" si="45">SUM(B97:B101)</f>
        <v>-1927</v>
      </c>
      <c r="C102" s="13">
        <f t="shared" si="45"/>
        <v>-2331</v>
      </c>
      <c r="D102" s="13">
        <f t="shared" si="45"/>
        <v>-1213</v>
      </c>
      <c r="E102" s="13">
        <f t="shared" ref="E102" si="46">SUM(E97:E101)</f>
        <v>-911</v>
      </c>
      <c r="F102" s="13">
        <f t="shared" si="45"/>
        <v>-6382</v>
      </c>
      <c r="G102" s="13">
        <f t="shared" ref="G102:H102" si="47">SUM(G97:G101)</f>
        <v>-2621</v>
      </c>
      <c r="H102" s="13">
        <f t="shared" si="47"/>
        <v>-1613.2932302739205</v>
      </c>
      <c r="I102" s="13">
        <f t="shared" ref="I102:J102" si="48">SUM(I97:I101)</f>
        <v>-2081.25450305096</v>
      </c>
      <c r="J102" s="13">
        <f t="shared" si="48"/>
        <v>-1625.6373932560007</v>
      </c>
      <c r="K102" s="13">
        <f t="shared" ref="K102" si="49">SUM(K97:K101)</f>
        <v>-7941.1851265808809</v>
      </c>
    </row>
    <row r="103" spans="1:11" s="1" customFormat="1" ht="12" x14ac:dyDescent="0.2"/>
    <row r="104" spans="1:11" s="1" customFormat="1" ht="12" x14ac:dyDescent="0.2"/>
    <row r="105" spans="1:11" s="1" customFormat="1" ht="12" x14ac:dyDescent="0.2"/>
    <row r="106" spans="1:1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zoomScale="110" zoomScaleNormal="110" workbookViewId="0">
      <selection sqref="A1:A1048576"/>
    </sheetView>
  </sheetViews>
  <sheetFormatPr defaultColWidth="9.140625" defaultRowHeight="12" x14ac:dyDescent="0.2"/>
  <cols>
    <col min="1" max="1" width="35.5703125" style="19" customWidth="1"/>
    <col min="2" max="9" width="11.140625" style="19" customWidth="1"/>
    <col min="10" max="16384" width="9.140625" style="19"/>
  </cols>
  <sheetData>
    <row r="1" spans="1:9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4" t="s">
        <v>104</v>
      </c>
      <c r="B4" s="8" t="s">
        <v>114</v>
      </c>
      <c r="C4" s="8" t="s">
        <v>53</v>
      </c>
      <c r="D4" s="8" t="s">
        <v>54</v>
      </c>
      <c r="E4" s="8" t="s">
        <v>55</v>
      </c>
      <c r="F4" s="8" t="s">
        <v>52</v>
      </c>
      <c r="G4" s="8" t="s">
        <v>53</v>
      </c>
      <c r="H4" s="8" t="s">
        <v>112</v>
      </c>
      <c r="I4" s="8" t="s">
        <v>55</v>
      </c>
    </row>
    <row r="5" spans="1:9" x14ac:dyDescent="0.2">
      <c r="A5" s="35" t="s">
        <v>6</v>
      </c>
      <c r="B5" s="2">
        <v>2022</v>
      </c>
      <c r="C5" s="2">
        <v>2022</v>
      </c>
      <c r="D5" s="2">
        <v>2022</v>
      </c>
      <c r="E5" s="2">
        <v>2022</v>
      </c>
      <c r="F5" s="2">
        <v>2021</v>
      </c>
      <c r="G5" s="2">
        <v>2021</v>
      </c>
      <c r="H5" s="2">
        <v>2021</v>
      </c>
      <c r="I5" s="2">
        <v>2021</v>
      </c>
    </row>
    <row r="6" spans="1:9" x14ac:dyDescent="0.2">
      <c r="A6" s="36" t="s">
        <v>56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37" t="s">
        <v>57</v>
      </c>
      <c r="B7" s="9">
        <v>692</v>
      </c>
      <c r="C7" s="9">
        <v>704</v>
      </c>
      <c r="D7" s="9">
        <v>709</v>
      </c>
      <c r="E7" s="9">
        <v>717</v>
      </c>
      <c r="F7" s="9">
        <f>1200-491</f>
        <v>709</v>
      </c>
      <c r="G7" s="9">
        <f>1207-519</f>
        <v>688</v>
      </c>
      <c r="H7" s="9">
        <f>1266-543</f>
        <v>723</v>
      </c>
      <c r="I7" s="9">
        <f>1269-573</f>
        <v>696</v>
      </c>
    </row>
    <row r="8" spans="1:9" x14ac:dyDescent="0.2">
      <c r="A8" s="37" t="s">
        <v>58</v>
      </c>
      <c r="B8" s="9">
        <v>18296</v>
      </c>
      <c r="C8" s="9">
        <v>19177</v>
      </c>
      <c r="D8" s="9">
        <v>19291</v>
      </c>
      <c r="E8" s="9">
        <v>17157</v>
      </c>
      <c r="F8" s="9">
        <v>17969</v>
      </c>
      <c r="G8" s="9">
        <v>18464</v>
      </c>
      <c r="H8" s="9">
        <v>19336</v>
      </c>
      <c r="I8" s="9">
        <v>18215</v>
      </c>
    </row>
    <row r="9" spans="1:9" x14ac:dyDescent="0.2">
      <c r="A9" s="37" t="s">
        <v>111</v>
      </c>
      <c r="B9" s="9">
        <v>17840</v>
      </c>
      <c r="C9" s="9">
        <v>17381</v>
      </c>
      <c r="D9" s="9">
        <v>16947</v>
      </c>
      <c r="E9" s="9">
        <v>16460</v>
      </c>
      <c r="F9" s="9">
        <v>16959</v>
      </c>
      <c r="G9" s="9">
        <v>17153</v>
      </c>
      <c r="H9" s="9">
        <v>16533</v>
      </c>
      <c r="I9" s="9">
        <v>17002</v>
      </c>
    </row>
    <row r="10" spans="1:9" x14ac:dyDescent="0.2">
      <c r="A10" s="37" t="s">
        <v>59</v>
      </c>
      <c r="B10" s="9">
        <v>10847</v>
      </c>
      <c r="C10" s="9">
        <v>9887</v>
      </c>
      <c r="D10" s="9">
        <v>8314</v>
      </c>
      <c r="E10" s="9">
        <v>8375</v>
      </c>
      <c r="F10" s="9">
        <v>8165</v>
      </c>
      <c r="G10" s="9">
        <v>7365</v>
      </c>
      <c r="H10" s="9">
        <v>7333</v>
      </c>
      <c r="I10" s="9">
        <v>6308</v>
      </c>
    </row>
    <row r="11" spans="1:9" x14ac:dyDescent="0.2">
      <c r="A11" s="35" t="s">
        <v>103</v>
      </c>
      <c r="B11" s="10">
        <v>1628</v>
      </c>
      <c r="C11" s="10">
        <v>1306</v>
      </c>
      <c r="D11" s="10">
        <v>1367</v>
      </c>
      <c r="E11" s="10">
        <v>1297</v>
      </c>
      <c r="F11" s="10">
        <f>1021+105</f>
        <v>1126</v>
      </c>
      <c r="G11" s="10">
        <f>983+111</f>
        <v>1094</v>
      </c>
      <c r="H11" s="10">
        <f>976+116</f>
        <v>1092</v>
      </c>
      <c r="I11" s="10">
        <f>1306+123</f>
        <v>1429</v>
      </c>
    </row>
    <row r="12" spans="1:9" x14ac:dyDescent="0.2">
      <c r="A12" s="38" t="s">
        <v>60</v>
      </c>
      <c r="B12" s="12">
        <f t="shared" ref="B12:C12" si="0">SUM(B7:B11)</f>
        <v>49303</v>
      </c>
      <c r="C12" s="12">
        <f t="shared" si="0"/>
        <v>48455</v>
      </c>
      <c r="D12" s="12">
        <f t="shared" ref="D12:E12" si="1">SUM(D7:D11)</f>
        <v>46628</v>
      </c>
      <c r="E12" s="12">
        <f t="shared" si="1"/>
        <v>44006</v>
      </c>
      <c r="F12" s="12">
        <f t="shared" ref="F12:I12" si="2">SUM(F7:F11)</f>
        <v>44928</v>
      </c>
      <c r="G12" s="12">
        <f t="shared" si="2"/>
        <v>44764</v>
      </c>
      <c r="H12" s="12">
        <f t="shared" si="2"/>
        <v>45017</v>
      </c>
      <c r="I12" s="12">
        <f t="shared" si="2"/>
        <v>43650</v>
      </c>
    </row>
    <row r="13" spans="1:9" x14ac:dyDescent="0.2">
      <c r="A13" s="38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37" t="s">
        <v>96</v>
      </c>
      <c r="B14" s="9">
        <v>319</v>
      </c>
      <c r="C14" s="9">
        <v>380</v>
      </c>
      <c r="D14" s="9">
        <v>419</v>
      </c>
      <c r="E14" s="9">
        <v>436</v>
      </c>
      <c r="F14" s="9">
        <v>412</v>
      </c>
      <c r="G14" s="9">
        <v>491</v>
      </c>
      <c r="H14" s="9">
        <v>596</v>
      </c>
      <c r="I14" s="9">
        <v>581</v>
      </c>
    </row>
    <row r="15" spans="1:9" x14ac:dyDescent="0.2">
      <c r="A15" s="37" t="s">
        <v>61</v>
      </c>
      <c r="B15" s="9">
        <v>4881</v>
      </c>
      <c r="C15" s="9">
        <v>4714</v>
      </c>
      <c r="D15" s="9">
        <v>3922</v>
      </c>
      <c r="E15" s="9">
        <v>2772</v>
      </c>
      <c r="F15" s="9">
        <v>3104</v>
      </c>
      <c r="G15" s="9">
        <v>2432</v>
      </c>
      <c r="H15" s="9">
        <v>1850</v>
      </c>
      <c r="I15" s="9">
        <v>1398</v>
      </c>
    </row>
    <row r="16" spans="1:9" x14ac:dyDescent="0.2">
      <c r="A16" s="35" t="s">
        <v>62</v>
      </c>
      <c r="B16" s="10">
        <v>8654</v>
      </c>
      <c r="C16" s="10">
        <v>6148</v>
      </c>
      <c r="D16" s="10">
        <v>8478</v>
      </c>
      <c r="E16" s="10">
        <v>3438</v>
      </c>
      <c r="F16" s="10">
        <v>4268</v>
      </c>
      <c r="G16" s="10">
        <v>4424</v>
      </c>
      <c r="H16" s="10">
        <v>4420</v>
      </c>
      <c r="I16" s="10">
        <v>4732</v>
      </c>
    </row>
    <row r="17" spans="1:9" x14ac:dyDescent="0.2">
      <c r="A17" s="38" t="s">
        <v>63</v>
      </c>
      <c r="B17" s="12">
        <f t="shared" ref="B17" si="3">SUM(B14:B16)</f>
        <v>13854</v>
      </c>
      <c r="C17" s="12">
        <f t="shared" ref="C17:D17" si="4">SUM(C14:C16)</f>
        <v>11242</v>
      </c>
      <c r="D17" s="12">
        <f t="shared" si="4"/>
        <v>12819</v>
      </c>
      <c r="E17" s="12">
        <f t="shared" ref="E17:F17" si="5">SUM(E14:E16)</f>
        <v>6646</v>
      </c>
      <c r="F17" s="12">
        <f t="shared" si="5"/>
        <v>7784</v>
      </c>
      <c r="G17" s="12">
        <f t="shared" ref="G17:I17" si="6">SUM(G14:G16)</f>
        <v>7347</v>
      </c>
      <c r="H17" s="12">
        <f t="shared" si="6"/>
        <v>6866</v>
      </c>
      <c r="I17" s="12">
        <f t="shared" si="6"/>
        <v>6711</v>
      </c>
    </row>
    <row r="18" spans="1:9" x14ac:dyDescent="0.2">
      <c r="A18" s="13" t="s">
        <v>64</v>
      </c>
      <c r="B18" s="13">
        <f t="shared" ref="B18" si="7">B12+B17</f>
        <v>63157</v>
      </c>
      <c r="C18" s="13">
        <f t="shared" ref="C18:D18" si="8">C12+C17</f>
        <v>59697</v>
      </c>
      <c r="D18" s="13">
        <f t="shared" si="8"/>
        <v>59447</v>
      </c>
      <c r="E18" s="13">
        <f t="shared" ref="E18:F18" si="9">E12+E17</f>
        <v>50652</v>
      </c>
      <c r="F18" s="13">
        <f t="shared" si="9"/>
        <v>52712</v>
      </c>
      <c r="G18" s="13">
        <f t="shared" ref="G18:I18" si="10">G12+G17</f>
        <v>52111</v>
      </c>
      <c r="H18" s="13">
        <f t="shared" si="10"/>
        <v>51883</v>
      </c>
      <c r="I18" s="13">
        <f t="shared" si="10"/>
        <v>50361</v>
      </c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65</v>
      </c>
      <c r="B20" s="3">
        <v>762</v>
      </c>
      <c r="C20" s="3">
        <v>1365</v>
      </c>
      <c r="D20" s="3">
        <v>2172</v>
      </c>
      <c r="E20" s="3">
        <v>3803</v>
      </c>
      <c r="F20" s="3">
        <f>6802-386</f>
        <v>6416</v>
      </c>
      <c r="G20" s="3">
        <f>7017-408</f>
        <v>6609</v>
      </c>
      <c r="H20" s="3">
        <f>8360-427</f>
        <v>7933</v>
      </c>
      <c r="I20" s="3">
        <f>9510-450</f>
        <v>9060</v>
      </c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 t="s">
        <v>97</v>
      </c>
      <c r="B22" s="3">
        <v>16627</v>
      </c>
      <c r="C22" s="3">
        <v>17455</v>
      </c>
      <c r="D22" s="3">
        <v>17157</v>
      </c>
      <c r="E22" s="3">
        <v>13507</v>
      </c>
      <c r="F22" s="3">
        <v>12989</v>
      </c>
      <c r="G22" s="3">
        <v>12617</v>
      </c>
      <c r="H22" s="3">
        <v>13309</v>
      </c>
      <c r="I22" s="3">
        <v>11829</v>
      </c>
    </row>
    <row r="23" spans="1:9" x14ac:dyDescent="0.2">
      <c r="A23" s="3" t="s">
        <v>98</v>
      </c>
      <c r="B23" s="3">
        <v>17686</v>
      </c>
      <c r="C23" s="3">
        <v>16069</v>
      </c>
      <c r="D23" s="3">
        <v>15063</v>
      </c>
      <c r="E23" s="3">
        <v>13973</v>
      </c>
      <c r="F23" s="3">
        <v>13231</v>
      </c>
      <c r="G23" s="3">
        <v>13387</v>
      </c>
      <c r="H23" s="3">
        <v>12590</v>
      </c>
      <c r="I23" s="3">
        <v>12832</v>
      </c>
    </row>
    <row r="24" spans="1:9" x14ac:dyDescent="0.2">
      <c r="A24" s="3" t="s">
        <v>99</v>
      </c>
      <c r="B24" s="3">
        <v>4283</v>
      </c>
      <c r="C24" s="3">
        <v>4747</v>
      </c>
      <c r="D24" s="3">
        <v>4024</v>
      </c>
      <c r="E24" s="3">
        <v>3751</v>
      </c>
      <c r="F24" s="3">
        <v>3812</v>
      </c>
      <c r="G24" s="3">
        <v>3403</v>
      </c>
      <c r="H24" s="3">
        <v>3425</v>
      </c>
      <c r="I24" s="3">
        <v>3322</v>
      </c>
    </row>
    <row r="25" spans="1:9" x14ac:dyDescent="0.2">
      <c r="A25" s="23" t="s">
        <v>100</v>
      </c>
      <c r="B25" s="23">
        <f>SUM(B22:B24)</f>
        <v>38596</v>
      </c>
      <c r="C25" s="23">
        <f>SUM(C22:C24)</f>
        <v>38271</v>
      </c>
      <c r="D25" s="23">
        <f>SUM(D22:D24)</f>
        <v>36244</v>
      </c>
      <c r="E25" s="23">
        <f>SUM(E22:E24)</f>
        <v>31231</v>
      </c>
      <c r="F25" s="23">
        <f>SUM(F22:F24)</f>
        <v>30032</v>
      </c>
      <c r="G25" s="23">
        <f t="shared" ref="G25:I25" si="11">SUM(G22:G24)</f>
        <v>29407</v>
      </c>
      <c r="H25" s="23">
        <f t="shared" si="11"/>
        <v>29324</v>
      </c>
      <c r="I25" s="23">
        <f t="shared" si="11"/>
        <v>27983</v>
      </c>
    </row>
    <row r="26" spans="1:9" x14ac:dyDescent="0.2">
      <c r="A26" s="1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 t="s">
        <v>97</v>
      </c>
      <c r="B27" s="3">
        <v>7379</v>
      </c>
      <c r="C27" s="3">
        <v>3882</v>
      </c>
      <c r="D27" s="3">
        <v>5233</v>
      </c>
      <c r="E27" s="3">
        <v>4838</v>
      </c>
      <c r="F27" s="3">
        <v>3871</v>
      </c>
      <c r="G27" s="3">
        <v>4442</v>
      </c>
      <c r="H27" s="3">
        <v>3879</v>
      </c>
      <c r="I27" s="3">
        <v>2451</v>
      </c>
    </row>
    <row r="28" spans="1:9" x14ac:dyDescent="0.2">
      <c r="A28" s="3" t="s">
        <v>98</v>
      </c>
      <c r="B28" s="3">
        <v>3828</v>
      </c>
      <c r="C28" s="3">
        <v>3410</v>
      </c>
      <c r="D28" s="3">
        <v>3094</v>
      </c>
      <c r="E28" s="3">
        <v>3077</v>
      </c>
      <c r="F28" s="3">
        <v>2833</v>
      </c>
      <c r="G28" s="3">
        <v>2676</v>
      </c>
      <c r="H28" s="3">
        <v>2544</v>
      </c>
      <c r="I28" s="3">
        <v>2670</v>
      </c>
    </row>
    <row r="29" spans="1:9" x14ac:dyDescent="0.2">
      <c r="A29" s="3" t="s">
        <v>99</v>
      </c>
      <c r="B29" s="3">
        <v>12592</v>
      </c>
      <c r="C29" s="3">
        <v>12769</v>
      </c>
      <c r="D29" s="3">
        <v>12704</v>
      </c>
      <c r="E29" s="3">
        <v>9703</v>
      </c>
      <c r="F29" s="3">
        <v>9560</v>
      </c>
      <c r="G29" s="3">
        <v>8977</v>
      </c>
      <c r="H29" s="3">
        <v>8203</v>
      </c>
      <c r="I29" s="3">
        <v>8197</v>
      </c>
    </row>
    <row r="30" spans="1:9" x14ac:dyDescent="0.2">
      <c r="A30" s="23" t="s">
        <v>101</v>
      </c>
      <c r="B30" s="23">
        <f t="shared" ref="B30:C30" si="12">SUM(B27:B29)</f>
        <v>23799</v>
      </c>
      <c r="C30" s="23">
        <f t="shared" si="12"/>
        <v>20061</v>
      </c>
      <c r="D30" s="23">
        <f t="shared" ref="D30:E30" si="13">SUM(D27:D29)</f>
        <v>21031</v>
      </c>
      <c r="E30" s="23">
        <f t="shared" si="13"/>
        <v>17618</v>
      </c>
      <c r="F30" s="23">
        <f t="shared" ref="F30:I30" si="14">SUM(F27:F29)</f>
        <v>16264</v>
      </c>
      <c r="G30" s="23">
        <f t="shared" si="14"/>
        <v>16095</v>
      </c>
      <c r="H30" s="23">
        <f t="shared" si="14"/>
        <v>14626</v>
      </c>
      <c r="I30" s="23">
        <f t="shared" si="14"/>
        <v>13318</v>
      </c>
    </row>
    <row r="31" spans="1:9" x14ac:dyDescent="0.2">
      <c r="A31" s="1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23" t="s">
        <v>66</v>
      </c>
      <c r="B32" s="23">
        <f t="shared" ref="B32" si="15">B30+B25+B20</f>
        <v>63157</v>
      </c>
      <c r="C32" s="23">
        <f t="shared" ref="C32:D32" si="16">C30+C25+C20</f>
        <v>59697</v>
      </c>
      <c r="D32" s="23">
        <f t="shared" si="16"/>
        <v>59447</v>
      </c>
      <c r="E32" s="23">
        <f t="shared" ref="E32:F32" si="17">E30+E25+E20</f>
        <v>52652</v>
      </c>
      <c r="F32" s="23">
        <f t="shared" si="17"/>
        <v>52712</v>
      </c>
      <c r="G32" s="23">
        <f t="shared" ref="G32:I32" si="18">G30+G25+G20</f>
        <v>52111</v>
      </c>
      <c r="H32" s="23">
        <f t="shared" si="18"/>
        <v>51883</v>
      </c>
      <c r="I32" s="23">
        <f t="shared" si="18"/>
        <v>50361</v>
      </c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 t="s">
        <v>67</v>
      </c>
      <c r="B34" s="39">
        <v>-0.94</v>
      </c>
      <c r="C34" s="39">
        <v>-0.86</v>
      </c>
      <c r="D34" s="39">
        <v>-0.75</v>
      </c>
      <c r="E34" s="39">
        <v>-0.52</v>
      </c>
      <c r="F34" s="39">
        <v>-0.16</v>
      </c>
      <c r="G34" s="39">
        <v>-0.14000000000000001</v>
      </c>
      <c r="H34" s="39">
        <v>0.04</v>
      </c>
      <c r="I34" s="39">
        <v>0.2</v>
      </c>
    </row>
    <row r="35" spans="1:9" x14ac:dyDescent="0.2">
      <c r="A35" s="3" t="s">
        <v>68</v>
      </c>
      <c r="B35" s="11">
        <v>21114</v>
      </c>
      <c r="C35" s="11">
        <v>17222</v>
      </c>
      <c r="D35" s="11">
        <v>17768</v>
      </c>
      <c r="E35" s="11">
        <v>12324</v>
      </c>
      <c r="F35" s="11">
        <v>12746</v>
      </c>
      <c r="G35" s="11">
        <v>11843</v>
      </c>
      <c r="H35" s="11">
        <v>11548</v>
      </c>
      <c r="I35" s="11">
        <v>10518</v>
      </c>
    </row>
    <row r="36" spans="1:9" x14ac:dyDescent="0.2">
      <c r="A36" s="3" t="s">
        <v>69</v>
      </c>
      <c r="B36" s="11">
        <v>45519</v>
      </c>
      <c r="C36" s="11">
        <v>40816</v>
      </c>
      <c r="D36" s="11">
        <v>40547</v>
      </c>
      <c r="E36" s="11">
        <f>E22+E23+E27+E28</f>
        <v>35395</v>
      </c>
      <c r="F36" s="11">
        <f>F22+F23+F27+F28</f>
        <v>32924</v>
      </c>
      <c r="G36" s="11">
        <v>33122</v>
      </c>
      <c r="H36" s="11">
        <v>32322</v>
      </c>
      <c r="I36" s="11">
        <v>29782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Normal="100" workbookViewId="0">
      <selection activeCell="L1" sqref="L1:V1048576"/>
    </sheetView>
  </sheetViews>
  <sheetFormatPr defaultColWidth="9.140625" defaultRowHeight="12" x14ac:dyDescent="0.2"/>
  <cols>
    <col min="1" max="1" width="52.85546875" style="19" customWidth="1"/>
    <col min="2" max="11" width="9.140625" style="19" customWidth="1"/>
    <col min="12" max="16384" width="9.140625" style="19"/>
  </cols>
  <sheetData>
    <row r="1" spans="1:11" ht="26.25" x14ac:dyDescent="0.4">
      <c r="A1" s="29" t="s">
        <v>0</v>
      </c>
    </row>
    <row r="4" spans="1:11" x14ac:dyDescent="0.2">
      <c r="A4" s="3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31"/>
      <c r="B5" s="32" t="s">
        <v>113</v>
      </c>
      <c r="C5" s="32">
        <v>2022</v>
      </c>
      <c r="D5" s="32">
        <v>2022</v>
      </c>
      <c r="E5" s="32">
        <v>2022</v>
      </c>
      <c r="F5" s="32" t="s">
        <v>113</v>
      </c>
      <c r="G5" s="32">
        <v>2021</v>
      </c>
      <c r="H5" s="21">
        <v>2021</v>
      </c>
      <c r="I5" s="21">
        <v>2021</v>
      </c>
      <c r="J5" s="21">
        <v>2021</v>
      </c>
      <c r="K5" s="21" t="s">
        <v>108</v>
      </c>
    </row>
    <row r="6" spans="1:11" x14ac:dyDescent="0.2">
      <c r="A6" s="30" t="s">
        <v>70</v>
      </c>
      <c r="B6" s="15" t="s">
        <v>4</v>
      </c>
      <c r="C6" s="15" t="s">
        <v>3</v>
      </c>
      <c r="D6" s="15" t="s">
        <v>2</v>
      </c>
      <c r="E6" s="15" t="s">
        <v>5</v>
      </c>
      <c r="F6" s="20" t="s">
        <v>4</v>
      </c>
      <c r="G6" s="20" t="s">
        <v>4</v>
      </c>
      <c r="H6" s="15" t="s">
        <v>3</v>
      </c>
      <c r="I6" s="15" t="s">
        <v>2</v>
      </c>
      <c r="J6" s="15" t="s">
        <v>5</v>
      </c>
      <c r="K6" s="15" t="s">
        <v>4</v>
      </c>
    </row>
    <row r="7" spans="1:11" x14ac:dyDescent="0.2">
      <c r="A7" s="32" t="s">
        <v>6</v>
      </c>
      <c r="B7" s="2" t="s">
        <v>115</v>
      </c>
      <c r="C7" s="2" t="s">
        <v>115</v>
      </c>
      <c r="D7" s="2" t="s">
        <v>7</v>
      </c>
      <c r="E7" s="2" t="s">
        <v>10</v>
      </c>
      <c r="F7" s="2" t="s">
        <v>9</v>
      </c>
      <c r="G7" s="2" t="s">
        <v>8</v>
      </c>
      <c r="H7" s="2" t="s">
        <v>8</v>
      </c>
      <c r="I7" s="2" t="s">
        <v>7</v>
      </c>
      <c r="J7" s="2" t="s">
        <v>10</v>
      </c>
      <c r="K7" s="2" t="s">
        <v>9</v>
      </c>
    </row>
    <row r="8" spans="1:11" x14ac:dyDescent="0.2">
      <c r="A8" s="1" t="s">
        <v>31</v>
      </c>
      <c r="B8" s="3">
        <v>-7846</v>
      </c>
      <c r="C8" s="3">
        <v>-1701</v>
      </c>
      <c r="D8" s="3">
        <v>-1991</v>
      </c>
      <c r="E8" s="3">
        <v>-1557</v>
      </c>
      <c r="F8" s="3">
        <v>-2597</v>
      </c>
      <c r="G8" s="3">
        <v>-6525</v>
      </c>
      <c r="H8" s="3">
        <v>-945</v>
      </c>
      <c r="I8" s="3">
        <f>-1358+24</f>
        <v>-1334</v>
      </c>
      <c r="J8" s="3">
        <f>-2361+30</f>
        <v>-2331</v>
      </c>
      <c r="K8" s="3">
        <f>-1936+21</f>
        <v>-1915</v>
      </c>
    </row>
    <row r="9" spans="1:11" x14ac:dyDescent="0.2">
      <c r="A9" s="1" t="s">
        <v>71</v>
      </c>
      <c r="B9" s="3">
        <v>4763</v>
      </c>
      <c r="C9" s="3">
        <v>1251</v>
      </c>
      <c r="D9" s="3">
        <v>1166</v>
      </c>
      <c r="E9" s="3">
        <v>1162</v>
      </c>
      <c r="F9" s="3">
        <v>1183</v>
      </c>
      <c r="G9" s="3">
        <v>4817</v>
      </c>
      <c r="H9" s="3">
        <v>1212</v>
      </c>
      <c r="I9" s="3">
        <f>1198-30</f>
        <v>1168</v>
      </c>
      <c r="J9" s="3">
        <f>1202-30</f>
        <v>1172</v>
      </c>
      <c r="K9" s="3">
        <f>1295-30</f>
        <v>1265</v>
      </c>
    </row>
    <row r="10" spans="1:11" x14ac:dyDescent="0.2">
      <c r="A10" s="1" t="s">
        <v>72</v>
      </c>
      <c r="B10" s="3">
        <v>-82</v>
      </c>
      <c r="C10" s="3">
        <v>88</v>
      </c>
      <c r="D10" s="3">
        <v>-89</v>
      </c>
      <c r="E10" s="3">
        <v>-56</v>
      </c>
      <c r="F10" s="3">
        <v>-24</v>
      </c>
      <c r="G10" s="3">
        <v>143</v>
      </c>
      <c r="H10" s="3">
        <v>34</v>
      </c>
      <c r="I10" s="3">
        <v>121</v>
      </c>
      <c r="J10" s="3">
        <v>0</v>
      </c>
      <c r="K10" s="3">
        <v>-12</v>
      </c>
    </row>
    <row r="11" spans="1:11" x14ac:dyDescent="0.2">
      <c r="A11" s="24" t="s">
        <v>73</v>
      </c>
      <c r="B11" s="3">
        <v>2982</v>
      </c>
      <c r="C11" s="3">
        <v>1248</v>
      </c>
      <c r="D11" s="3">
        <v>629</v>
      </c>
      <c r="E11" s="3">
        <v>343</v>
      </c>
      <c r="F11" s="3">
        <v>762</v>
      </c>
      <c r="G11" s="3">
        <v>-515</v>
      </c>
      <c r="H11" s="3">
        <v>115</v>
      </c>
      <c r="I11" s="3">
        <v>46</v>
      </c>
      <c r="J11" s="3">
        <v>-74</v>
      </c>
      <c r="K11" s="3">
        <v>-602</v>
      </c>
    </row>
    <row r="12" spans="1:11" x14ac:dyDescent="0.2">
      <c r="A12" s="32" t="s">
        <v>74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-2</v>
      </c>
      <c r="H12" s="4">
        <v>0</v>
      </c>
      <c r="I12" s="4">
        <v>0</v>
      </c>
      <c r="J12" s="4">
        <v>0</v>
      </c>
      <c r="K12" s="4">
        <v>-2</v>
      </c>
    </row>
    <row r="13" spans="1:11" x14ac:dyDescent="0.2">
      <c r="A13" s="27" t="s">
        <v>75</v>
      </c>
      <c r="B13" s="13">
        <f t="shared" ref="B13:C13" si="0">SUM(B8:B12)</f>
        <v>-183</v>
      </c>
      <c r="C13" s="13">
        <f t="shared" si="0"/>
        <v>886</v>
      </c>
      <c r="D13" s="13">
        <f t="shared" ref="D13:E13" si="1">SUM(D8:D12)</f>
        <v>-285</v>
      </c>
      <c r="E13" s="13">
        <f t="shared" si="1"/>
        <v>-108</v>
      </c>
      <c r="F13" s="13">
        <f t="shared" ref="F13:G13" si="2">SUM(F8:F12)</f>
        <v>-676</v>
      </c>
      <c r="G13" s="13">
        <f t="shared" si="2"/>
        <v>-2082</v>
      </c>
      <c r="H13" s="13">
        <f t="shared" ref="H13" si="3">SUM(H8:H12)</f>
        <v>416</v>
      </c>
      <c r="I13" s="13">
        <f t="shared" ref="I13:K13" si="4">SUM(I8:I12)</f>
        <v>1</v>
      </c>
      <c r="J13" s="13">
        <f t="shared" si="4"/>
        <v>-1233</v>
      </c>
      <c r="K13" s="13">
        <f t="shared" si="4"/>
        <v>-1266</v>
      </c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32" t="s">
        <v>76</v>
      </c>
      <c r="B15" s="4">
        <v>1955</v>
      </c>
      <c r="C15" s="4">
        <v>-467</v>
      </c>
      <c r="D15" s="4">
        <v>-707</v>
      </c>
      <c r="E15" s="4">
        <v>2567</v>
      </c>
      <c r="F15" s="4">
        <v>562</v>
      </c>
      <c r="G15" s="4">
        <v>-2653</v>
      </c>
      <c r="H15" s="4">
        <v>659</v>
      </c>
      <c r="I15" s="4">
        <v>538</v>
      </c>
      <c r="J15" s="4">
        <v>-170</v>
      </c>
      <c r="K15" s="4">
        <v>-3680</v>
      </c>
    </row>
    <row r="16" spans="1:11" x14ac:dyDescent="0.2">
      <c r="A16" s="27" t="s">
        <v>77</v>
      </c>
      <c r="B16" s="13">
        <f t="shared" ref="B16:C16" si="5">B13+B15</f>
        <v>1772</v>
      </c>
      <c r="C16" s="13">
        <f t="shared" si="5"/>
        <v>419</v>
      </c>
      <c r="D16" s="13">
        <f t="shared" ref="D16:E16" si="6">D13+D15</f>
        <v>-992</v>
      </c>
      <c r="E16" s="13">
        <f t="shared" si="6"/>
        <v>2459</v>
      </c>
      <c r="F16" s="13">
        <f t="shared" ref="F16:G16" si="7">F13+F15</f>
        <v>-114</v>
      </c>
      <c r="G16" s="13">
        <f t="shared" si="7"/>
        <v>-4735</v>
      </c>
      <c r="H16" s="13">
        <f t="shared" ref="H16" si="8">H13+H15</f>
        <v>1075</v>
      </c>
      <c r="I16" s="13">
        <f t="shared" ref="I16:K16" si="9">I13+I15</f>
        <v>539</v>
      </c>
      <c r="J16" s="13">
        <f t="shared" si="9"/>
        <v>-1403</v>
      </c>
      <c r="K16" s="13">
        <f t="shared" si="9"/>
        <v>-4946</v>
      </c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 t="s">
        <v>78</v>
      </c>
      <c r="B18" s="3">
        <v>-5093</v>
      </c>
      <c r="C18" s="3">
        <v>-1356</v>
      </c>
      <c r="D18" s="3">
        <v>-1464</v>
      </c>
      <c r="E18" s="3">
        <v>-1416</v>
      </c>
      <c r="F18" s="3">
        <v>-857</v>
      </c>
      <c r="G18" s="3">
        <v>-4104</v>
      </c>
      <c r="H18" s="3">
        <v>-363</v>
      </c>
      <c r="I18" s="3">
        <f>-1388+6</f>
        <v>-1382</v>
      </c>
      <c r="J18" s="3">
        <v>-1584</v>
      </c>
      <c r="K18" s="3">
        <f>-784+9</f>
        <v>-775</v>
      </c>
    </row>
    <row r="19" spans="1:11" x14ac:dyDescent="0.2">
      <c r="A19" s="1" t="s">
        <v>105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-1</v>
      </c>
      <c r="H19" s="3">
        <v>0</v>
      </c>
      <c r="I19" s="3">
        <v>0</v>
      </c>
      <c r="J19" s="3">
        <v>-1</v>
      </c>
      <c r="K19" s="3">
        <v>0</v>
      </c>
    </row>
    <row r="20" spans="1:11" x14ac:dyDescent="0.2">
      <c r="A20" s="1" t="s">
        <v>79</v>
      </c>
      <c r="B20" s="3">
        <v>26</v>
      </c>
      <c r="C20" s="3">
        <v>26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2">
      <c r="A21" s="32" t="s">
        <v>80</v>
      </c>
      <c r="B21" s="4">
        <v>5816</v>
      </c>
      <c r="C21" s="4">
        <v>1697</v>
      </c>
      <c r="D21" s="4">
        <f>2064-80</f>
        <v>1984</v>
      </c>
      <c r="E21" s="4">
        <f>1512+44</f>
        <v>1556</v>
      </c>
      <c r="F21" s="4">
        <v>579</v>
      </c>
      <c r="G21" s="4">
        <v>2568</v>
      </c>
      <c r="H21" s="4">
        <v>429</v>
      </c>
      <c r="I21" s="4">
        <v>1810</v>
      </c>
      <c r="J21" s="4">
        <v>66</v>
      </c>
      <c r="K21" s="4">
        <v>263</v>
      </c>
    </row>
    <row r="22" spans="1:11" x14ac:dyDescent="0.2">
      <c r="A22" s="27" t="s">
        <v>81</v>
      </c>
      <c r="B22" s="13">
        <f t="shared" ref="B22:G22" si="10">SUM(B18:B21)+B16</f>
        <v>2521</v>
      </c>
      <c r="C22" s="13">
        <f t="shared" si="10"/>
        <v>786</v>
      </c>
      <c r="D22" s="13">
        <f t="shared" si="10"/>
        <v>-472</v>
      </c>
      <c r="E22" s="13">
        <f t="shared" si="10"/>
        <v>2599</v>
      </c>
      <c r="F22" s="13">
        <f t="shared" si="10"/>
        <v>-392</v>
      </c>
      <c r="G22" s="13">
        <f t="shared" si="10"/>
        <v>-6272</v>
      </c>
      <c r="H22" s="13">
        <f t="shared" ref="H22" si="11">SUM(H18:H21)+H16</f>
        <v>1141</v>
      </c>
      <c r="I22" s="13">
        <f>SUM(I18:I21)+I16</f>
        <v>967</v>
      </c>
      <c r="J22" s="13">
        <f>SUM(J18:J21)+J16</f>
        <v>-2922</v>
      </c>
      <c r="K22" s="13">
        <f>SUM(K18:K21)+K16</f>
        <v>-5458</v>
      </c>
    </row>
    <row r="23" spans="1:1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1" t="s">
        <v>82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2">
      <c r="A25" s="1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2">
      <c r="A26" s="24" t="s">
        <v>102</v>
      </c>
      <c r="B26" s="33">
        <v>-2820</v>
      </c>
      <c r="C26" s="33">
        <v>-761</v>
      </c>
      <c r="D26" s="33">
        <v>-619</v>
      </c>
      <c r="E26" s="33">
        <v>-801</v>
      </c>
      <c r="F26" s="33">
        <v>-639</v>
      </c>
      <c r="G26" s="33">
        <v>-2809</v>
      </c>
      <c r="H26" s="9">
        <v>-612</v>
      </c>
      <c r="I26" s="9">
        <v>-611</v>
      </c>
      <c r="J26" s="9">
        <v>-728</v>
      </c>
      <c r="K26" s="9">
        <v>-875</v>
      </c>
    </row>
    <row r="27" spans="1:11" x14ac:dyDescent="0.2">
      <c r="A27" s="24" t="s">
        <v>117</v>
      </c>
      <c r="B27" s="33">
        <v>-257</v>
      </c>
      <c r="C27" s="33">
        <v>-257</v>
      </c>
      <c r="D27" s="33"/>
      <c r="E27" s="33"/>
      <c r="F27" s="33"/>
      <c r="G27" s="33"/>
      <c r="H27" s="9"/>
      <c r="I27" s="9"/>
      <c r="J27" s="9"/>
      <c r="K27" s="9"/>
    </row>
    <row r="28" spans="1:11" x14ac:dyDescent="0.2">
      <c r="A28" s="24" t="s">
        <v>84</v>
      </c>
      <c r="B28" s="3">
        <f>8515-3359-225</f>
        <v>4931</v>
      </c>
      <c r="C28" s="3">
        <f>3734-789-216</f>
        <v>2729</v>
      </c>
      <c r="D28" s="3">
        <v>-1239</v>
      </c>
      <c r="E28" s="3">
        <v>3241</v>
      </c>
      <c r="F28" s="3">
        <f>89-138+249</f>
        <v>200</v>
      </c>
      <c r="G28" s="3">
        <f>5319-2562-274+634</f>
        <v>3117</v>
      </c>
      <c r="H28" s="17">
        <f>719-964-138-302</f>
        <v>-685</v>
      </c>
      <c r="I28" s="17">
        <v>-352</v>
      </c>
      <c r="J28" s="17">
        <v>3337</v>
      </c>
      <c r="K28" s="17">
        <v>834</v>
      </c>
    </row>
    <row r="29" spans="1:11" x14ac:dyDescent="0.2">
      <c r="A29" s="25" t="s">
        <v>85</v>
      </c>
      <c r="B29" s="23">
        <f t="shared" ref="B29:C29" si="12">SUM(B22:B28)</f>
        <v>4375</v>
      </c>
      <c r="C29" s="23">
        <f t="shared" si="12"/>
        <v>2497</v>
      </c>
      <c r="D29" s="23">
        <f t="shared" ref="D29:E29" si="13">SUM(D22:D28)</f>
        <v>-2330</v>
      </c>
      <c r="E29" s="23">
        <f t="shared" si="13"/>
        <v>5039</v>
      </c>
      <c r="F29" s="23">
        <f t="shared" ref="F29:G29" si="14">SUM(F22:F28)</f>
        <v>-831</v>
      </c>
      <c r="G29" s="23">
        <f t="shared" si="14"/>
        <v>-5964</v>
      </c>
      <c r="H29" s="23">
        <f t="shared" ref="H29" si="15">SUM(H22:H28)</f>
        <v>-156</v>
      </c>
      <c r="I29" s="23">
        <f t="shared" ref="I29:K29" si="16">SUM(I22:I28)</f>
        <v>4</v>
      </c>
      <c r="J29" s="23">
        <f t="shared" si="16"/>
        <v>-313</v>
      </c>
      <c r="K29" s="23">
        <f t="shared" si="16"/>
        <v>-5499</v>
      </c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32" t="s">
        <v>86</v>
      </c>
      <c r="B31" s="4">
        <v>11</v>
      </c>
      <c r="C31" s="4">
        <v>9</v>
      </c>
      <c r="D31" s="4">
        <v>0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</row>
    <row r="32" spans="1:11" x14ac:dyDescent="0.2">
      <c r="A32" s="27" t="s">
        <v>87</v>
      </c>
      <c r="B32" s="13">
        <f t="shared" ref="B32:H32" si="17">SUM(B29:B31)</f>
        <v>4386</v>
      </c>
      <c r="C32" s="13">
        <f t="shared" si="17"/>
        <v>2506</v>
      </c>
      <c r="D32" s="13">
        <f t="shared" si="17"/>
        <v>-2330</v>
      </c>
      <c r="E32" s="13">
        <f t="shared" si="17"/>
        <v>5040</v>
      </c>
      <c r="F32" s="13">
        <f t="shared" si="17"/>
        <v>-830</v>
      </c>
      <c r="G32" s="13">
        <f t="shared" si="17"/>
        <v>-5963</v>
      </c>
      <c r="H32" s="13">
        <f t="shared" si="17"/>
        <v>-156</v>
      </c>
      <c r="I32" s="13">
        <f t="shared" ref="I32:K32" si="18">SUM(I29:I31)</f>
        <v>4</v>
      </c>
      <c r="J32" s="13">
        <f t="shared" si="18"/>
        <v>-312</v>
      </c>
      <c r="K32" s="13">
        <f t="shared" si="18"/>
        <v>-5499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Expiration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4CDA017EE6BAE34AA73E996750C86F780600450FC745E82E594CBA9B425EC341FF03" ma:contentTypeVersion="13" ma:contentTypeDescription="" ma:contentTypeScope="" ma:versionID="f95749cf7c5156ccb32cd8548cb173c8">
  <xsd:schema xmlns:xsd="http://www.w3.org/2001/XMLSchema" xmlns:xs="http://www.w3.org/2001/XMLSchema" xmlns:p="http://schemas.microsoft.com/office/2006/metadata/properties" xmlns:ns1="http://schemas.microsoft.com/sharepoint/v3" xmlns:ns3="89d774d4-ea07-4e23-9f3f-30c9aae6f4e6" xmlns:ns4="70c2b78f-1e9d-4a7d-84bb-6cc02aabce21" targetNamespace="http://schemas.microsoft.com/office/2006/metadata/properties" ma:root="true" ma:fieldsID="7c4e9748e11d11e7f63fe0c6b4bb6486" ns1:_="" ns3:_="" ns4:_="">
    <xsd:import namespace="http://schemas.microsoft.com/sharepoint/v3"/>
    <xsd:import namespace="89d774d4-ea07-4e23-9f3f-30c9aae6f4e6"/>
    <xsd:import namespace="70c2b78f-1e9d-4a7d-84bb-6cc02aabce21"/>
    <xsd:element name="properties">
      <xsd:complexType>
        <xsd:sequence>
          <xsd:element name="documentManagement">
            <xsd:complexType>
              <xsd:all>
                <xsd:element ref="ns3:Keyword" minOccurs="0"/>
                <xsd:element ref="ns3:Meeting_x0020_type" minOccurs="0"/>
                <xsd:element ref="ns3:Years_x0020_of_x0020_retention" minOccurs="0"/>
                <xsd:element ref="ns1:ol_Department" minOccurs="0"/>
                <xsd:element ref="ns1:_dlc_Exempt" minOccurs="0"/>
                <xsd:element ref="ns1:_dlc_ExpireDateSaved" minOccurs="0"/>
                <xsd:element ref="ns1:_dlc_ExpireDat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6" nillable="true" ma:displayName="Department" ma:hidden="true" ma:internalName="ol_Department" ma:readOnly="false">
      <xsd:simpleType>
        <xsd:restriction base="dms:Text"/>
      </xsd:simpleType>
    </xsd:element>
    <xsd:element name="_dlc_Exempt" ma:index="17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74d4-ea07-4e23-9f3f-30c9aae6f4e6" elementFormDefault="qualified">
    <xsd:import namespace="http://schemas.microsoft.com/office/2006/documentManagement/types"/>
    <xsd:import namespace="http://schemas.microsoft.com/office/infopath/2007/PartnerControls"/>
    <xsd:element name="Keyword" ma:index="3" nillable="true" ma:displayName="Keyword" ma:internalName="Keyword" ma:readOnly="false">
      <xsd:simpleType>
        <xsd:restriction base="dms:Note">
          <xsd:maxLength value="255"/>
        </xsd:restriction>
      </xsd:simpleType>
    </xsd:element>
    <xsd:element name="Meeting_x0020_type" ma:index="4" nillable="true" ma:displayName="Meeting type" ma:default="Internal Meeting" ma:format="Dropdown" ma:hidden="true" ma:internalName="Meeting_x0020_type" ma:readOnly="false">
      <xsd:simpleType>
        <xsd:restriction base="dms:Choice">
          <xsd:enumeration value="Internal Meeting"/>
          <xsd:enumeration value="External Meeting"/>
          <xsd:enumeration value="Management meeting"/>
        </xsd:restriction>
      </xsd:simpleType>
    </xsd:element>
    <xsd:element name="Years_x0020_of_x0020_retention" ma:index="5" nillable="true" ma:displayName="Years of retention" ma:default="10" ma:format="Dropdown" ma:internalName="Years_x0020_of_x0020_retention" ma:readOnly="false">
      <xsd:simpleType>
        <xsd:restriction base="dms:Choice">
          <xsd:enumeration value="3"/>
          <xsd:enumeration value="5"/>
          <xsd:enumeration value="10"/>
          <xsd:enumeration value="25"/>
          <xsd:enumeration value="50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f7aa88f-4159-4da9-ad8d-53fe95b0eea7}" ma:internalName="TaxCatchAll" ma:showField="CatchAllData" ma:web="89d774d4-ea07-4e23-9f3f-30c9aae6f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2b78f-1e9d-4a7d-84bb-6cc02aabce2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p:properties xmlns:p="http://schemas.microsoft.com/office/2006/metadata/properties" xmlns:xsi="http://www.w3.org/2001/XMLSchema-instance">
  <documentManagement>
    <ol_Department xmlns="http://schemas.microsoft.com/sharepoint/v3" xsi:nil="true"/>
    <Years_x0020_of_x0020_retention xmlns="89d774d4-ea07-4e23-9f3f-30c9aae6f4e6">10</Years_x0020_of_x0020_retention>
    <Meeting_x0020_type xmlns="89d774d4-ea07-4e23-9f3f-30c9aae6f4e6">Internal Meeting</Meeting_x0020_type>
    <Keyword xmlns="89d774d4-ea07-4e23-9f3f-30c9aae6f4e6" xsi:nil="true"/>
    <_dlc_ExpireDate xmlns="http://schemas.microsoft.com/sharepoint/v3" xsi:nil="true"/>
    <_dlc_ExpireDateSaved xmlns="http://schemas.microsoft.com/sharepoint/v3" xsi:nil="true"/>
    <_dlc_Exempt xmlns="http://schemas.microsoft.com/sharepoint/v3" xsi:nil="true"/>
    <_dlc_DocId xmlns="89d774d4-ea07-4e23-9f3f-30c9aae6f4e6">CEP75RKCEUZV-1429125831-61341</_dlc_DocId>
    <_dlc_DocIdUrl xmlns="89d774d4-ea07-4e23-9f3f-30c9aae6f4e6">
      <Url>https://scandinavianairlinessystem.sharepoint.com/sites/S01628/_layouts/15/DocIdRedir.aspx?ID=CEP75RKCEUZV-1429125831-61341</Url>
      <Description>CEP75RKCEUZV-1429125831-61341</Description>
    </_dlc_DocIdUrl>
    <TaxCatchAll xmlns="89d774d4-ea07-4e23-9f3f-30c9aae6f4e6" xsi:nil="true"/>
    <lcf76f155ced4ddcb4097134ff3c332f xmlns="70c2b78f-1e9d-4a7d-84bb-6cc02aabce21" xsi:nil="true"/>
  </documentManagement>
</p:properties>
</file>

<file path=customXml/item7.xml><?xml version="1.0" encoding="utf-8"?>
<LongProperties xmlns="http://schemas.microsoft.com/office/2006/metadata/longProperties"/>
</file>

<file path=customXml/item8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eb5485ab-1157-4755-8123-60f52ea6f46c">
      <p:Name>Expiration</p:Name>
      <p:Description>Automatic scheduling of content for processing, and expiry of content that has reached its due date.</p:Description>
      <p:CustomData>
        <data xmlns=""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Props1.xml><?xml version="1.0" encoding="utf-8"?>
<ds:datastoreItem xmlns:ds="http://schemas.openxmlformats.org/officeDocument/2006/customXml" ds:itemID="{D0E3D983-37F7-450F-B4EA-9D730AC4459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61209-1B18-4026-9B6E-645BC4C0DEAC}">
  <ds:schemaRefs>
    <ds:schemaRef ds:uri="microsoft.office.server.policy.changes"/>
  </ds:schemaRefs>
</ds:datastoreItem>
</file>

<file path=customXml/itemProps4.xml><?xml version="1.0" encoding="utf-8"?>
<ds:datastoreItem xmlns:ds="http://schemas.openxmlformats.org/officeDocument/2006/customXml" ds:itemID="{2708A89A-6347-42DF-85EE-7BE28B0B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d774d4-ea07-4e23-9f3f-30c9aae6f4e6"/>
    <ds:schemaRef ds:uri="70c2b78f-1e9d-4a7d-84bb-6cc02aabc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09011F4-FC1F-425E-B806-AC1665881336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AEF24E0-0BC4-464C-83C3-16A05863404B}">
  <ds:schemaRefs>
    <ds:schemaRef ds:uri="http://schemas.microsoft.com/sharepoint/v3"/>
    <ds:schemaRef ds:uri="89d774d4-ea07-4e23-9f3f-30c9aae6f4e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0c2b78f-1e9d-4a7d-84bb-6cc02aabce21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8.xml><?xml version="1.0" encoding="utf-8"?>
<ds:datastoreItem xmlns:ds="http://schemas.openxmlformats.org/officeDocument/2006/customXml" ds:itemID="{21BCD43F-9031-4181-A508-B0CE8A227EA6}">
  <ds:schemaRefs>
    <ds:schemaRef ds:uri="office.server.policy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2022-12-02T12:49:47Z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0x0101004CDA017EE6BAE34AA73E996750C86F780600450FC745E82E594CBA9B425EC341FF03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cde2534e-c753-4727-9291-aa0ce00bcddf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